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rainfall_test1" sheetId="1" r:id="rId1"/>
    <sheet name="rainfall_test" sheetId="2" r:id="rId2"/>
  </sheets>
  <calcPr calcId="144525"/>
</workbook>
</file>

<file path=xl/calcChain.xml><?xml version="1.0" encoding="utf-8"?>
<calcChain xmlns="http://schemas.openxmlformats.org/spreadsheetml/2006/main">
  <c r="N85" i="1" l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N1" i="1"/>
  <c r="N86" i="2" l="1"/>
  <c r="M86" i="2"/>
  <c r="L86" i="2"/>
  <c r="K86" i="2"/>
  <c r="J86" i="2"/>
  <c r="I86" i="2"/>
  <c r="H86" i="2"/>
  <c r="G86" i="2"/>
  <c r="F86" i="2"/>
  <c r="E86" i="2"/>
  <c r="D86" i="2"/>
  <c r="C86" i="2"/>
  <c r="N85" i="2"/>
  <c r="M85" i="2"/>
  <c r="L85" i="2"/>
  <c r="K85" i="2"/>
  <c r="J85" i="2"/>
  <c r="I85" i="2"/>
  <c r="H85" i="2"/>
  <c r="G85" i="2"/>
  <c r="F85" i="2"/>
  <c r="E85" i="2"/>
  <c r="D85" i="2"/>
  <c r="C85" i="2"/>
  <c r="N84" i="2"/>
  <c r="M84" i="2"/>
  <c r="L84" i="2"/>
  <c r="K84" i="2"/>
  <c r="J84" i="2"/>
  <c r="I84" i="2"/>
  <c r="H84" i="2"/>
  <c r="G84" i="2"/>
  <c r="F84" i="2"/>
  <c r="E84" i="2"/>
  <c r="D84" i="2"/>
  <c r="C84" i="2"/>
  <c r="N83" i="2"/>
  <c r="M83" i="2"/>
  <c r="L83" i="2"/>
  <c r="K83" i="2"/>
  <c r="J83" i="2"/>
  <c r="I83" i="2"/>
  <c r="H83" i="2"/>
  <c r="G83" i="2"/>
  <c r="F83" i="2"/>
  <c r="E83" i="2"/>
  <c r="D83" i="2"/>
  <c r="C83" i="2"/>
  <c r="N82" i="2"/>
  <c r="M82" i="2"/>
  <c r="L82" i="2"/>
  <c r="K82" i="2"/>
  <c r="J82" i="2"/>
  <c r="I82" i="2"/>
  <c r="H82" i="2"/>
  <c r="G82" i="2"/>
  <c r="F82" i="2"/>
  <c r="E82" i="2"/>
  <c r="D82" i="2"/>
  <c r="C82" i="2"/>
  <c r="N81" i="2"/>
  <c r="M81" i="2"/>
  <c r="L81" i="2"/>
  <c r="K81" i="2"/>
  <c r="J81" i="2"/>
  <c r="I81" i="2"/>
  <c r="H81" i="2"/>
  <c r="G81" i="2"/>
  <c r="F81" i="2"/>
  <c r="E81" i="2"/>
  <c r="D81" i="2"/>
  <c r="C81" i="2"/>
  <c r="N80" i="2"/>
  <c r="M80" i="2"/>
  <c r="L80" i="2"/>
  <c r="K80" i="2"/>
  <c r="J80" i="2"/>
  <c r="I80" i="2"/>
  <c r="H80" i="2"/>
  <c r="G80" i="2"/>
  <c r="F80" i="2"/>
  <c r="E80" i="2"/>
  <c r="D80" i="2"/>
  <c r="C80" i="2"/>
  <c r="N79" i="2"/>
  <c r="M79" i="2"/>
  <c r="L79" i="2"/>
  <c r="K79" i="2"/>
  <c r="J79" i="2"/>
  <c r="I79" i="2"/>
  <c r="H79" i="2"/>
  <c r="G79" i="2"/>
  <c r="F79" i="2"/>
  <c r="E79" i="2"/>
  <c r="D79" i="2"/>
  <c r="C79" i="2"/>
  <c r="N78" i="2"/>
  <c r="M78" i="2"/>
  <c r="L78" i="2"/>
  <c r="K78" i="2"/>
  <c r="J78" i="2"/>
  <c r="I78" i="2"/>
  <c r="H78" i="2"/>
  <c r="G78" i="2"/>
  <c r="F78" i="2"/>
  <c r="E78" i="2"/>
  <c r="D78" i="2"/>
  <c r="C78" i="2"/>
  <c r="N77" i="2"/>
  <c r="M77" i="2"/>
  <c r="L77" i="2"/>
  <c r="K77" i="2"/>
  <c r="J77" i="2"/>
  <c r="I77" i="2"/>
  <c r="H77" i="2"/>
  <c r="G77" i="2"/>
  <c r="F77" i="2"/>
  <c r="E77" i="2"/>
  <c r="D77" i="2"/>
  <c r="C77" i="2"/>
  <c r="N76" i="2"/>
  <c r="M76" i="2"/>
  <c r="L76" i="2"/>
  <c r="K76" i="2"/>
  <c r="J76" i="2"/>
  <c r="I76" i="2"/>
  <c r="H76" i="2"/>
  <c r="G76" i="2"/>
  <c r="F76" i="2"/>
  <c r="E76" i="2"/>
  <c r="D76" i="2"/>
  <c r="C76" i="2"/>
  <c r="N75" i="2"/>
  <c r="M75" i="2"/>
  <c r="L75" i="2"/>
  <c r="K75" i="2"/>
  <c r="J75" i="2"/>
  <c r="I75" i="2"/>
  <c r="H75" i="2"/>
  <c r="G75" i="2"/>
  <c r="F75" i="2"/>
  <c r="E75" i="2"/>
  <c r="D75" i="2"/>
  <c r="C75" i="2"/>
  <c r="N74" i="2"/>
  <c r="M74" i="2"/>
  <c r="L74" i="2"/>
  <c r="K74" i="2"/>
  <c r="J74" i="2"/>
  <c r="I74" i="2"/>
  <c r="H74" i="2"/>
  <c r="G74" i="2"/>
  <c r="F74" i="2"/>
  <c r="E74" i="2"/>
  <c r="D74" i="2"/>
  <c r="C74" i="2"/>
  <c r="N73" i="2"/>
  <c r="M73" i="2"/>
  <c r="L73" i="2"/>
  <c r="K73" i="2"/>
  <c r="J73" i="2"/>
  <c r="I73" i="2"/>
  <c r="H73" i="2"/>
  <c r="G73" i="2"/>
  <c r="F73" i="2"/>
  <c r="E73" i="2"/>
  <c r="D73" i="2"/>
  <c r="C73" i="2"/>
  <c r="N72" i="2"/>
  <c r="M72" i="2"/>
  <c r="L72" i="2"/>
  <c r="K72" i="2"/>
  <c r="J72" i="2"/>
  <c r="I72" i="2"/>
  <c r="H72" i="2"/>
  <c r="G72" i="2"/>
  <c r="F72" i="2"/>
  <c r="E72" i="2"/>
  <c r="D72" i="2"/>
  <c r="C72" i="2"/>
  <c r="N71" i="2"/>
  <c r="M71" i="2"/>
  <c r="L71" i="2"/>
  <c r="K71" i="2"/>
  <c r="J71" i="2"/>
  <c r="I71" i="2"/>
  <c r="H71" i="2"/>
  <c r="G71" i="2"/>
  <c r="F71" i="2"/>
  <c r="E71" i="2"/>
  <c r="D71" i="2"/>
  <c r="C71" i="2"/>
  <c r="N70" i="2"/>
  <c r="M70" i="2"/>
  <c r="L70" i="2"/>
  <c r="K70" i="2"/>
  <c r="J70" i="2"/>
  <c r="I70" i="2"/>
  <c r="H70" i="2"/>
  <c r="G70" i="2"/>
  <c r="F70" i="2"/>
  <c r="E70" i="2"/>
  <c r="D70" i="2"/>
  <c r="C70" i="2"/>
  <c r="N69" i="2"/>
  <c r="M69" i="2"/>
  <c r="L69" i="2"/>
  <c r="K69" i="2"/>
  <c r="J69" i="2"/>
  <c r="I69" i="2"/>
  <c r="H69" i="2"/>
  <c r="G69" i="2"/>
  <c r="F69" i="2"/>
  <c r="E69" i="2"/>
  <c r="D69" i="2"/>
  <c r="C69" i="2"/>
  <c r="N68" i="2"/>
  <c r="M68" i="2"/>
  <c r="L68" i="2"/>
  <c r="K68" i="2"/>
  <c r="J68" i="2"/>
  <c r="I68" i="2"/>
  <c r="H68" i="2"/>
  <c r="G68" i="2"/>
  <c r="F68" i="2"/>
  <c r="E68" i="2"/>
  <c r="D68" i="2"/>
  <c r="C68" i="2"/>
  <c r="N67" i="2"/>
  <c r="M67" i="2"/>
  <c r="L67" i="2"/>
  <c r="K67" i="2"/>
  <c r="J67" i="2"/>
  <c r="I67" i="2"/>
  <c r="H67" i="2"/>
  <c r="G67" i="2"/>
  <c r="F67" i="2"/>
  <c r="E67" i="2"/>
  <c r="D67" i="2"/>
  <c r="C67" i="2"/>
  <c r="N66" i="2"/>
  <c r="M66" i="2"/>
  <c r="L66" i="2"/>
  <c r="K66" i="2"/>
  <c r="J66" i="2"/>
  <c r="I66" i="2"/>
  <c r="H66" i="2"/>
  <c r="G66" i="2"/>
  <c r="F66" i="2"/>
  <c r="E66" i="2"/>
  <c r="D66" i="2"/>
  <c r="C66" i="2"/>
  <c r="N65" i="2"/>
  <c r="M65" i="2"/>
  <c r="L65" i="2"/>
  <c r="K65" i="2"/>
  <c r="J65" i="2"/>
  <c r="I65" i="2"/>
  <c r="H65" i="2"/>
  <c r="G65" i="2"/>
  <c r="F65" i="2"/>
  <c r="E65" i="2"/>
  <c r="D65" i="2"/>
  <c r="C65" i="2"/>
  <c r="N64" i="2"/>
  <c r="M64" i="2"/>
  <c r="L64" i="2"/>
  <c r="K64" i="2"/>
  <c r="J64" i="2"/>
  <c r="I64" i="2"/>
  <c r="H64" i="2"/>
  <c r="G64" i="2"/>
  <c r="F64" i="2"/>
  <c r="E64" i="2"/>
  <c r="D64" i="2"/>
  <c r="C64" i="2"/>
  <c r="N63" i="2"/>
  <c r="M63" i="2"/>
  <c r="L63" i="2"/>
  <c r="K63" i="2"/>
  <c r="J63" i="2"/>
  <c r="I63" i="2"/>
  <c r="H63" i="2"/>
  <c r="G63" i="2"/>
  <c r="F63" i="2"/>
  <c r="E63" i="2"/>
  <c r="D63" i="2"/>
  <c r="C63" i="2"/>
  <c r="N62" i="2"/>
  <c r="M62" i="2"/>
  <c r="L62" i="2"/>
  <c r="K62" i="2"/>
  <c r="J62" i="2"/>
  <c r="I62" i="2"/>
  <c r="H62" i="2"/>
  <c r="G62" i="2"/>
  <c r="F62" i="2"/>
  <c r="E62" i="2"/>
  <c r="D62" i="2"/>
  <c r="C62" i="2"/>
  <c r="N61" i="2"/>
  <c r="M61" i="2"/>
  <c r="L61" i="2"/>
  <c r="K61" i="2"/>
  <c r="J61" i="2"/>
  <c r="I61" i="2"/>
  <c r="H61" i="2"/>
  <c r="G61" i="2"/>
  <c r="F61" i="2"/>
  <c r="E61" i="2"/>
  <c r="D61" i="2"/>
  <c r="C61" i="2"/>
  <c r="N60" i="2"/>
  <c r="M60" i="2"/>
  <c r="L60" i="2"/>
  <c r="K60" i="2"/>
  <c r="J60" i="2"/>
  <c r="I60" i="2"/>
  <c r="H60" i="2"/>
  <c r="G60" i="2"/>
  <c r="F60" i="2"/>
  <c r="E60" i="2"/>
  <c r="D60" i="2"/>
  <c r="C60" i="2"/>
  <c r="N59" i="2"/>
  <c r="M59" i="2"/>
  <c r="L59" i="2"/>
  <c r="K59" i="2"/>
  <c r="J59" i="2"/>
  <c r="I59" i="2"/>
  <c r="H59" i="2"/>
  <c r="G59" i="2"/>
  <c r="F59" i="2"/>
  <c r="E59" i="2"/>
  <c r="D59" i="2"/>
  <c r="C59" i="2"/>
  <c r="N58" i="2"/>
  <c r="M58" i="2"/>
  <c r="L58" i="2"/>
  <c r="K58" i="2"/>
  <c r="J58" i="2"/>
  <c r="I58" i="2"/>
  <c r="H58" i="2"/>
  <c r="G58" i="2"/>
  <c r="F58" i="2"/>
  <c r="E58" i="2"/>
  <c r="D58" i="2"/>
  <c r="C58" i="2"/>
  <c r="N57" i="2"/>
  <c r="M57" i="2"/>
  <c r="L57" i="2"/>
  <c r="K57" i="2"/>
  <c r="J57" i="2"/>
  <c r="I57" i="2"/>
  <c r="H57" i="2"/>
  <c r="G57" i="2"/>
  <c r="F57" i="2"/>
  <c r="E57" i="2"/>
  <c r="D57" i="2"/>
  <c r="C57" i="2"/>
  <c r="N56" i="2"/>
  <c r="M56" i="2"/>
  <c r="L56" i="2"/>
  <c r="K56" i="2"/>
  <c r="J56" i="2"/>
  <c r="I56" i="2"/>
  <c r="H56" i="2"/>
  <c r="G56" i="2"/>
  <c r="F56" i="2"/>
  <c r="E56" i="2"/>
  <c r="D56" i="2"/>
  <c r="C56" i="2"/>
  <c r="N55" i="2"/>
  <c r="M55" i="2"/>
  <c r="L55" i="2"/>
  <c r="K55" i="2"/>
  <c r="J55" i="2"/>
  <c r="I55" i="2"/>
  <c r="H55" i="2"/>
  <c r="G55" i="2"/>
  <c r="F55" i="2"/>
  <c r="E55" i="2"/>
  <c r="D55" i="2"/>
  <c r="C55" i="2"/>
  <c r="N54" i="2"/>
  <c r="M54" i="2"/>
  <c r="L54" i="2"/>
  <c r="K54" i="2"/>
  <c r="J54" i="2"/>
  <c r="I54" i="2"/>
  <c r="H54" i="2"/>
  <c r="G54" i="2"/>
  <c r="F54" i="2"/>
  <c r="E54" i="2"/>
  <c r="D54" i="2"/>
  <c r="C54" i="2"/>
  <c r="N53" i="2"/>
  <c r="M53" i="2"/>
  <c r="L53" i="2"/>
  <c r="K53" i="2"/>
  <c r="J53" i="2"/>
  <c r="I53" i="2"/>
  <c r="H53" i="2"/>
  <c r="G53" i="2"/>
  <c r="F53" i="2"/>
  <c r="E53" i="2"/>
  <c r="D53" i="2"/>
  <c r="C53" i="2"/>
  <c r="N52" i="2"/>
  <c r="M52" i="2"/>
  <c r="L52" i="2"/>
  <c r="K52" i="2"/>
  <c r="J52" i="2"/>
  <c r="I52" i="2"/>
  <c r="H52" i="2"/>
  <c r="G52" i="2"/>
  <c r="F52" i="2"/>
  <c r="E52" i="2"/>
  <c r="D52" i="2"/>
  <c r="C52" i="2"/>
  <c r="N51" i="2"/>
  <c r="M51" i="2"/>
  <c r="L51" i="2"/>
  <c r="K51" i="2"/>
  <c r="J51" i="2"/>
  <c r="I51" i="2"/>
  <c r="H51" i="2"/>
  <c r="G51" i="2"/>
  <c r="F51" i="2"/>
  <c r="E51" i="2"/>
  <c r="D51" i="2"/>
  <c r="C51" i="2"/>
  <c r="N50" i="2"/>
  <c r="M50" i="2"/>
  <c r="L50" i="2"/>
  <c r="K50" i="2"/>
  <c r="J50" i="2"/>
  <c r="I50" i="2"/>
  <c r="H50" i="2"/>
  <c r="G50" i="2"/>
  <c r="F50" i="2"/>
  <c r="E50" i="2"/>
  <c r="D50" i="2"/>
  <c r="C50" i="2"/>
  <c r="N49" i="2"/>
  <c r="M49" i="2"/>
  <c r="L49" i="2"/>
  <c r="K49" i="2"/>
  <c r="J49" i="2"/>
  <c r="I49" i="2"/>
  <c r="H49" i="2"/>
  <c r="G49" i="2"/>
  <c r="F49" i="2"/>
  <c r="E49" i="2"/>
  <c r="D49" i="2"/>
  <c r="C49" i="2"/>
  <c r="N48" i="2"/>
  <c r="M48" i="2"/>
  <c r="L48" i="2"/>
  <c r="K48" i="2"/>
  <c r="J48" i="2"/>
  <c r="I48" i="2"/>
  <c r="H48" i="2"/>
  <c r="G48" i="2"/>
  <c r="F48" i="2"/>
  <c r="E48" i="2"/>
  <c r="D48" i="2"/>
  <c r="C48" i="2"/>
  <c r="N47" i="2"/>
  <c r="M47" i="2"/>
  <c r="L47" i="2"/>
  <c r="K47" i="2"/>
  <c r="J47" i="2"/>
  <c r="I47" i="2"/>
  <c r="H47" i="2"/>
  <c r="G47" i="2"/>
  <c r="F47" i="2"/>
  <c r="E47" i="2"/>
  <c r="D47" i="2"/>
  <c r="C47" i="2"/>
  <c r="N46" i="2"/>
  <c r="M46" i="2"/>
  <c r="L46" i="2"/>
  <c r="K46" i="2"/>
  <c r="J46" i="2"/>
  <c r="I46" i="2"/>
  <c r="H46" i="2"/>
  <c r="G46" i="2"/>
  <c r="F46" i="2"/>
  <c r="E46" i="2"/>
  <c r="D46" i="2"/>
  <c r="C46" i="2"/>
  <c r="N45" i="2"/>
  <c r="M45" i="2"/>
  <c r="L45" i="2"/>
  <c r="K45" i="2"/>
  <c r="J45" i="2"/>
  <c r="I45" i="2"/>
  <c r="H45" i="2"/>
  <c r="G45" i="2"/>
  <c r="F45" i="2"/>
  <c r="E45" i="2"/>
  <c r="D45" i="2"/>
  <c r="C45" i="2"/>
  <c r="N44" i="2"/>
  <c r="M44" i="2"/>
  <c r="L44" i="2"/>
  <c r="K44" i="2"/>
  <c r="J44" i="2"/>
  <c r="I44" i="2"/>
  <c r="H44" i="2"/>
  <c r="G44" i="2"/>
  <c r="F44" i="2"/>
  <c r="E44" i="2"/>
  <c r="D44" i="2"/>
  <c r="C44" i="2"/>
  <c r="N43" i="2"/>
  <c r="M43" i="2"/>
  <c r="L43" i="2"/>
  <c r="K43" i="2"/>
  <c r="J43" i="2"/>
  <c r="I43" i="2"/>
  <c r="H43" i="2"/>
  <c r="G43" i="2"/>
  <c r="F43" i="2"/>
  <c r="E43" i="2"/>
  <c r="D43" i="2"/>
  <c r="C43" i="2"/>
  <c r="N42" i="2"/>
  <c r="M42" i="2"/>
  <c r="L42" i="2"/>
  <c r="K42" i="2"/>
  <c r="J42" i="2"/>
  <c r="I42" i="2"/>
  <c r="H42" i="2"/>
  <c r="G42" i="2"/>
  <c r="F42" i="2"/>
  <c r="E42" i="2"/>
  <c r="D42" i="2"/>
  <c r="C42" i="2"/>
  <c r="N41" i="2"/>
  <c r="M41" i="2"/>
  <c r="L41" i="2"/>
  <c r="K41" i="2"/>
  <c r="J41" i="2"/>
  <c r="I41" i="2"/>
  <c r="H41" i="2"/>
  <c r="G41" i="2"/>
  <c r="F41" i="2"/>
  <c r="E41" i="2"/>
  <c r="D41" i="2"/>
  <c r="C41" i="2"/>
  <c r="N40" i="2"/>
  <c r="M40" i="2"/>
  <c r="L40" i="2"/>
  <c r="K40" i="2"/>
  <c r="J40" i="2"/>
  <c r="I40" i="2"/>
  <c r="H40" i="2"/>
  <c r="G40" i="2"/>
  <c r="F40" i="2"/>
  <c r="E40" i="2"/>
  <c r="D40" i="2"/>
  <c r="C40" i="2"/>
  <c r="N39" i="2"/>
  <c r="M39" i="2"/>
  <c r="L39" i="2"/>
  <c r="K39" i="2"/>
  <c r="J39" i="2"/>
  <c r="I39" i="2"/>
  <c r="H39" i="2"/>
  <c r="G39" i="2"/>
  <c r="F39" i="2"/>
  <c r="E39" i="2"/>
  <c r="D39" i="2"/>
  <c r="C39" i="2"/>
  <c r="N38" i="2"/>
  <c r="M38" i="2"/>
  <c r="L38" i="2"/>
  <c r="K38" i="2"/>
  <c r="J38" i="2"/>
  <c r="I38" i="2"/>
  <c r="H38" i="2"/>
  <c r="G38" i="2"/>
  <c r="F38" i="2"/>
  <c r="E38" i="2"/>
  <c r="D38" i="2"/>
  <c r="C38" i="2"/>
  <c r="N37" i="2"/>
  <c r="M37" i="2"/>
  <c r="L37" i="2"/>
  <c r="K37" i="2"/>
  <c r="J37" i="2"/>
  <c r="I37" i="2"/>
  <c r="H37" i="2"/>
  <c r="G37" i="2"/>
  <c r="F37" i="2"/>
  <c r="E37" i="2"/>
  <c r="D37" i="2"/>
  <c r="C37" i="2"/>
  <c r="N36" i="2"/>
  <c r="M36" i="2"/>
  <c r="L36" i="2"/>
  <c r="K36" i="2"/>
  <c r="J36" i="2"/>
  <c r="I36" i="2"/>
  <c r="H36" i="2"/>
  <c r="G36" i="2"/>
  <c r="F36" i="2"/>
  <c r="E36" i="2"/>
  <c r="D36" i="2"/>
  <c r="C36" i="2"/>
  <c r="N35" i="2"/>
  <c r="M35" i="2"/>
  <c r="L35" i="2"/>
  <c r="K35" i="2"/>
  <c r="J35" i="2"/>
  <c r="I35" i="2"/>
  <c r="H35" i="2"/>
  <c r="G35" i="2"/>
  <c r="F35" i="2"/>
  <c r="E35" i="2"/>
  <c r="D35" i="2"/>
  <c r="C35" i="2"/>
  <c r="N34" i="2"/>
  <c r="M34" i="2"/>
  <c r="L34" i="2"/>
  <c r="K34" i="2"/>
  <c r="J34" i="2"/>
  <c r="I34" i="2"/>
  <c r="H34" i="2"/>
  <c r="G34" i="2"/>
  <c r="F34" i="2"/>
  <c r="E34" i="2"/>
  <c r="D34" i="2"/>
  <c r="C34" i="2"/>
  <c r="N33" i="2"/>
  <c r="M33" i="2"/>
  <c r="L33" i="2"/>
  <c r="K33" i="2"/>
  <c r="J33" i="2"/>
  <c r="I33" i="2"/>
  <c r="H33" i="2"/>
  <c r="G33" i="2"/>
  <c r="F33" i="2"/>
  <c r="E33" i="2"/>
  <c r="D33" i="2"/>
  <c r="C33" i="2"/>
  <c r="N32" i="2"/>
  <c r="M32" i="2"/>
  <c r="L32" i="2"/>
  <c r="K32" i="2"/>
  <c r="J32" i="2"/>
  <c r="I32" i="2"/>
  <c r="H32" i="2"/>
  <c r="G32" i="2"/>
  <c r="F32" i="2"/>
  <c r="E32" i="2"/>
  <c r="D32" i="2"/>
  <c r="C32" i="2"/>
  <c r="N31" i="2"/>
  <c r="M31" i="2"/>
  <c r="L31" i="2"/>
  <c r="K31" i="2"/>
  <c r="J31" i="2"/>
  <c r="I31" i="2"/>
  <c r="H31" i="2"/>
  <c r="G31" i="2"/>
  <c r="F31" i="2"/>
  <c r="E31" i="2"/>
  <c r="D31" i="2"/>
  <c r="C31" i="2"/>
  <c r="N30" i="2"/>
  <c r="M30" i="2"/>
  <c r="L30" i="2"/>
  <c r="K30" i="2"/>
  <c r="J30" i="2"/>
  <c r="I30" i="2"/>
  <c r="H30" i="2"/>
  <c r="G30" i="2"/>
  <c r="F30" i="2"/>
  <c r="E30" i="2"/>
  <c r="D30" i="2"/>
  <c r="C30" i="2"/>
  <c r="N29" i="2"/>
  <c r="M29" i="2"/>
  <c r="L29" i="2"/>
  <c r="K29" i="2"/>
  <c r="J29" i="2"/>
  <c r="I29" i="2"/>
  <c r="H29" i="2"/>
  <c r="G29" i="2"/>
  <c r="F29" i="2"/>
  <c r="E29" i="2"/>
  <c r="D29" i="2"/>
  <c r="C29" i="2"/>
  <c r="N28" i="2"/>
  <c r="M28" i="2"/>
  <c r="L28" i="2"/>
  <c r="K28" i="2"/>
  <c r="J28" i="2"/>
  <c r="I28" i="2"/>
  <c r="H28" i="2"/>
  <c r="G28" i="2"/>
  <c r="F28" i="2"/>
  <c r="E28" i="2"/>
  <c r="D28" i="2"/>
  <c r="C28" i="2"/>
  <c r="N27" i="2"/>
  <c r="M27" i="2"/>
  <c r="L27" i="2"/>
  <c r="K27" i="2"/>
  <c r="J27" i="2"/>
  <c r="I27" i="2"/>
  <c r="H27" i="2"/>
  <c r="G27" i="2"/>
  <c r="F27" i="2"/>
  <c r="E27" i="2"/>
  <c r="D27" i="2"/>
  <c r="C27" i="2"/>
  <c r="N26" i="2"/>
  <c r="M26" i="2"/>
  <c r="L26" i="2"/>
  <c r="K26" i="2"/>
  <c r="J26" i="2"/>
  <c r="I26" i="2"/>
  <c r="H26" i="2"/>
  <c r="G26" i="2"/>
  <c r="F26" i="2"/>
  <c r="E26" i="2"/>
  <c r="D26" i="2"/>
  <c r="C26" i="2"/>
  <c r="N25" i="2"/>
  <c r="M25" i="2"/>
  <c r="L25" i="2"/>
  <c r="K25" i="2"/>
  <c r="J25" i="2"/>
  <c r="I25" i="2"/>
  <c r="H25" i="2"/>
  <c r="G25" i="2"/>
  <c r="F25" i="2"/>
  <c r="E25" i="2"/>
  <c r="D25" i="2"/>
  <c r="C25" i="2"/>
  <c r="N24" i="2"/>
  <c r="M24" i="2"/>
  <c r="L24" i="2"/>
  <c r="K24" i="2"/>
  <c r="J24" i="2"/>
  <c r="I24" i="2"/>
  <c r="H24" i="2"/>
  <c r="G24" i="2"/>
  <c r="F24" i="2"/>
  <c r="E24" i="2"/>
  <c r="D24" i="2"/>
  <c r="C24" i="2"/>
  <c r="N23" i="2"/>
  <c r="M23" i="2"/>
  <c r="L23" i="2"/>
  <c r="K23" i="2"/>
  <c r="J23" i="2"/>
  <c r="I23" i="2"/>
  <c r="H23" i="2"/>
  <c r="G23" i="2"/>
  <c r="F23" i="2"/>
  <c r="E23" i="2"/>
  <c r="D23" i="2"/>
  <c r="C23" i="2"/>
  <c r="N22" i="2"/>
  <c r="M22" i="2"/>
  <c r="L22" i="2"/>
  <c r="K22" i="2"/>
  <c r="J22" i="2"/>
  <c r="I22" i="2"/>
  <c r="H22" i="2"/>
  <c r="G22" i="2"/>
  <c r="F22" i="2"/>
  <c r="E22" i="2"/>
  <c r="D22" i="2"/>
  <c r="C22" i="2"/>
  <c r="N21" i="2"/>
  <c r="M21" i="2"/>
  <c r="L21" i="2"/>
  <c r="K21" i="2"/>
  <c r="J21" i="2"/>
  <c r="I21" i="2"/>
  <c r="H21" i="2"/>
  <c r="G21" i="2"/>
  <c r="F21" i="2"/>
  <c r="E21" i="2"/>
  <c r="D21" i="2"/>
  <c r="C21" i="2"/>
  <c r="N20" i="2"/>
  <c r="M20" i="2"/>
  <c r="L20" i="2"/>
  <c r="K20" i="2"/>
  <c r="J20" i="2"/>
  <c r="I20" i="2"/>
  <c r="H20" i="2"/>
  <c r="G20" i="2"/>
  <c r="F20" i="2"/>
  <c r="E20" i="2"/>
  <c r="D20" i="2"/>
  <c r="C20" i="2"/>
  <c r="N19" i="2"/>
  <c r="M19" i="2"/>
  <c r="L19" i="2"/>
  <c r="K19" i="2"/>
  <c r="J19" i="2"/>
  <c r="I19" i="2"/>
  <c r="H19" i="2"/>
  <c r="G19" i="2"/>
  <c r="F19" i="2"/>
  <c r="E19" i="2"/>
  <c r="D19" i="2"/>
  <c r="C19" i="2"/>
  <c r="N18" i="2"/>
  <c r="M18" i="2"/>
  <c r="L18" i="2"/>
  <c r="K18" i="2"/>
  <c r="J18" i="2"/>
  <c r="I18" i="2"/>
  <c r="H18" i="2"/>
  <c r="G18" i="2"/>
  <c r="F18" i="2"/>
  <c r="E18" i="2"/>
  <c r="D18" i="2"/>
  <c r="C18" i="2"/>
  <c r="N17" i="2"/>
  <c r="M17" i="2"/>
  <c r="L17" i="2"/>
  <c r="K17" i="2"/>
  <c r="J17" i="2"/>
  <c r="I17" i="2"/>
  <c r="H17" i="2"/>
  <c r="G17" i="2"/>
  <c r="F17" i="2"/>
  <c r="E17" i="2"/>
  <c r="D17" i="2"/>
  <c r="C17" i="2"/>
  <c r="N16" i="2"/>
  <c r="M16" i="2"/>
  <c r="L16" i="2"/>
  <c r="K16" i="2"/>
  <c r="J16" i="2"/>
  <c r="I16" i="2"/>
  <c r="H16" i="2"/>
  <c r="G16" i="2"/>
  <c r="F16" i="2"/>
  <c r="E16" i="2"/>
  <c r="D16" i="2"/>
  <c r="C16" i="2"/>
  <c r="N15" i="2"/>
  <c r="M15" i="2"/>
  <c r="L15" i="2"/>
  <c r="K15" i="2"/>
  <c r="J15" i="2"/>
  <c r="I15" i="2"/>
  <c r="H15" i="2"/>
  <c r="G15" i="2"/>
  <c r="F15" i="2"/>
  <c r="E15" i="2"/>
  <c r="D15" i="2"/>
  <c r="C15" i="2"/>
  <c r="N14" i="2"/>
  <c r="M14" i="2"/>
  <c r="L14" i="2"/>
  <c r="K14" i="2"/>
  <c r="J14" i="2"/>
  <c r="I14" i="2"/>
  <c r="H14" i="2"/>
  <c r="G14" i="2"/>
  <c r="F14" i="2"/>
  <c r="E14" i="2"/>
  <c r="D14" i="2"/>
  <c r="C14" i="2"/>
  <c r="N13" i="2"/>
  <c r="M13" i="2"/>
  <c r="L13" i="2"/>
  <c r="K13" i="2"/>
  <c r="J13" i="2"/>
  <c r="I13" i="2"/>
  <c r="H13" i="2"/>
  <c r="G13" i="2"/>
  <c r="F13" i="2"/>
  <c r="E13" i="2"/>
  <c r="D13" i="2"/>
  <c r="C13" i="2"/>
  <c r="N12" i="2"/>
  <c r="M12" i="2"/>
  <c r="L12" i="2"/>
  <c r="K12" i="2"/>
  <c r="J12" i="2"/>
  <c r="I12" i="2"/>
  <c r="H12" i="2"/>
  <c r="G12" i="2"/>
  <c r="F12" i="2"/>
  <c r="E12" i="2"/>
  <c r="D12" i="2"/>
  <c r="C12" i="2"/>
  <c r="N11" i="2"/>
  <c r="M11" i="2"/>
  <c r="L11" i="2"/>
  <c r="K11" i="2"/>
  <c r="J11" i="2"/>
  <c r="I11" i="2"/>
  <c r="H11" i="2"/>
  <c r="G11" i="2"/>
  <c r="F11" i="2"/>
  <c r="E11" i="2"/>
  <c r="D11" i="2"/>
  <c r="C11" i="2"/>
  <c r="N10" i="2"/>
  <c r="M10" i="2"/>
  <c r="L10" i="2"/>
  <c r="K10" i="2"/>
  <c r="J10" i="2"/>
  <c r="I10" i="2"/>
  <c r="H10" i="2"/>
  <c r="G10" i="2"/>
  <c r="F10" i="2"/>
  <c r="E10" i="2"/>
  <c r="D10" i="2"/>
  <c r="C10" i="2"/>
  <c r="N9" i="2"/>
  <c r="M9" i="2"/>
  <c r="L9" i="2"/>
  <c r="K9" i="2"/>
  <c r="J9" i="2"/>
  <c r="I9" i="2"/>
  <c r="H9" i="2"/>
  <c r="G9" i="2"/>
  <c r="F9" i="2"/>
  <c r="E9" i="2"/>
  <c r="D9" i="2"/>
  <c r="C9" i="2"/>
  <c r="N8" i="2"/>
  <c r="M8" i="2"/>
  <c r="L8" i="2"/>
  <c r="K8" i="2"/>
  <c r="J8" i="2"/>
  <c r="I8" i="2"/>
  <c r="H8" i="2"/>
  <c r="G8" i="2"/>
  <c r="F8" i="2"/>
  <c r="E8" i="2"/>
  <c r="D8" i="2"/>
  <c r="C8" i="2"/>
  <c r="N7" i="2"/>
  <c r="M7" i="2"/>
  <c r="L7" i="2"/>
  <c r="K7" i="2"/>
  <c r="J7" i="2"/>
  <c r="I7" i="2"/>
  <c r="H7" i="2"/>
  <c r="G7" i="2"/>
  <c r="F7" i="2"/>
  <c r="E7" i="2"/>
  <c r="D7" i="2"/>
  <c r="C7" i="2"/>
  <c r="N6" i="2"/>
  <c r="M6" i="2"/>
  <c r="L6" i="2"/>
  <c r="K6" i="2"/>
  <c r="J6" i="2"/>
  <c r="I6" i="2"/>
  <c r="H6" i="2"/>
  <c r="G6" i="2"/>
  <c r="F6" i="2"/>
  <c r="E6" i="2"/>
  <c r="D6" i="2"/>
  <c r="C6" i="2"/>
  <c r="N5" i="2"/>
  <c r="M5" i="2"/>
  <c r="L5" i="2"/>
  <c r="K5" i="2"/>
  <c r="J5" i="2"/>
  <c r="I5" i="2"/>
  <c r="H5" i="2"/>
  <c r="G5" i="2"/>
  <c r="F5" i="2"/>
  <c r="E5" i="2"/>
  <c r="D5" i="2"/>
  <c r="C5" i="2"/>
  <c r="N4" i="2"/>
  <c r="M4" i="2"/>
  <c r="L4" i="2"/>
  <c r="K4" i="2"/>
  <c r="J4" i="2"/>
  <c r="I4" i="2"/>
  <c r="H4" i="2"/>
  <c r="G4" i="2"/>
  <c r="F4" i="2"/>
  <c r="E4" i="2"/>
  <c r="D4" i="2"/>
  <c r="C4" i="2"/>
  <c r="N3" i="2"/>
  <c r="M3" i="2"/>
  <c r="L3" i="2"/>
  <c r="K3" i="2"/>
  <c r="J3" i="2"/>
  <c r="I3" i="2"/>
  <c r="H3" i="2"/>
  <c r="G3" i="2"/>
  <c r="F3" i="2"/>
  <c r="E3" i="2"/>
  <c r="D3" i="2"/>
  <c r="C3" i="2"/>
  <c r="N2" i="2"/>
  <c r="M2" i="2"/>
  <c r="L2" i="2"/>
  <c r="K2" i="2"/>
  <c r="J2" i="2"/>
  <c r="I2" i="2"/>
  <c r="H2" i="2"/>
  <c r="G2" i="2"/>
  <c r="F2" i="2"/>
  <c r="E2" i="2"/>
  <c r="D2" i="2"/>
  <c r="C2" i="2"/>
  <c r="M85" i="1"/>
  <c r="L85" i="1"/>
  <c r="K85" i="1"/>
  <c r="J85" i="1"/>
  <c r="I85" i="1"/>
  <c r="H85" i="1"/>
  <c r="G85" i="1"/>
  <c r="F85" i="1"/>
  <c r="E85" i="1"/>
  <c r="D85" i="1"/>
  <c r="C85" i="1"/>
  <c r="B85" i="1"/>
  <c r="M84" i="1"/>
  <c r="L84" i="1"/>
  <c r="K84" i="1"/>
  <c r="J84" i="1"/>
  <c r="I84" i="1"/>
  <c r="H84" i="1"/>
  <c r="G84" i="1"/>
  <c r="F84" i="1"/>
  <c r="E84" i="1"/>
  <c r="D84" i="1"/>
  <c r="C84" i="1"/>
  <c r="B84" i="1"/>
  <c r="M83" i="1"/>
  <c r="L83" i="1"/>
  <c r="K83" i="1"/>
  <c r="J83" i="1"/>
  <c r="I83" i="1"/>
  <c r="H83" i="1"/>
  <c r="G83" i="1"/>
  <c r="F83" i="1"/>
  <c r="E83" i="1"/>
  <c r="D83" i="1"/>
  <c r="C83" i="1"/>
  <c r="B83" i="1"/>
  <c r="M82" i="1"/>
  <c r="L82" i="1"/>
  <c r="K82" i="1"/>
  <c r="J82" i="1"/>
  <c r="I82" i="1"/>
  <c r="H82" i="1"/>
  <c r="G82" i="1"/>
  <c r="F82" i="1"/>
  <c r="E82" i="1"/>
  <c r="D82" i="1"/>
  <c r="C82" i="1"/>
  <c r="B82" i="1"/>
  <c r="M81" i="1"/>
  <c r="L81" i="1"/>
  <c r="K81" i="1"/>
  <c r="J81" i="1"/>
  <c r="I81" i="1"/>
  <c r="H81" i="1"/>
  <c r="G81" i="1"/>
  <c r="F81" i="1"/>
  <c r="E81" i="1"/>
  <c r="D81" i="1"/>
  <c r="C81" i="1"/>
  <c r="B81" i="1"/>
  <c r="M80" i="1"/>
  <c r="L80" i="1"/>
  <c r="K80" i="1"/>
  <c r="J80" i="1"/>
  <c r="I80" i="1"/>
  <c r="H80" i="1"/>
  <c r="G80" i="1"/>
  <c r="F80" i="1"/>
  <c r="E80" i="1"/>
  <c r="D80" i="1"/>
  <c r="C80" i="1"/>
  <c r="B80" i="1"/>
  <c r="M79" i="1"/>
  <c r="L79" i="1"/>
  <c r="K79" i="1"/>
  <c r="J79" i="1"/>
  <c r="I79" i="1"/>
  <c r="H79" i="1"/>
  <c r="G79" i="1"/>
  <c r="F79" i="1"/>
  <c r="E79" i="1"/>
  <c r="D79" i="1"/>
  <c r="C79" i="1"/>
  <c r="B79" i="1"/>
  <c r="M78" i="1"/>
  <c r="L78" i="1"/>
  <c r="K78" i="1"/>
  <c r="J78" i="1"/>
  <c r="I78" i="1"/>
  <c r="H78" i="1"/>
  <c r="G78" i="1"/>
  <c r="F78" i="1"/>
  <c r="E78" i="1"/>
  <c r="D78" i="1"/>
  <c r="C78" i="1"/>
  <c r="B78" i="1"/>
  <c r="M77" i="1"/>
  <c r="L77" i="1"/>
  <c r="K77" i="1"/>
  <c r="J77" i="1"/>
  <c r="I77" i="1"/>
  <c r="H77" i="1"/>
  <c r="G77" i="1"/>
  <c r="F77" i="1"/>
  <c r="E77" i="1"/>
  <c r="D77" i="1"/>
  <c r="C77" i="1"/>
  <c r="B77" i="1"/>
  <c r="M76" i="1"/>
  <c r="L76" i="1"/>
  <c r="K76" i="1"/>
  <c r="J76" i="1"/>
  <c r="I76" i="1"/>
  <c r="H76" i="1"/>
  <c r="G76" i="1"/>
  <c r="F76" i="1"/>
  <c r="E76" i="1"/>
  <c r="D76" i="1"/>
  <c r="C76" i="1"/>
  <c r="B76" i="1"/>
  <c r="M75" i="1"/>
  <c r="L75" i="1"/>
  <c r="K75" i="1"/>
  <c r="J75" i="1"/>
  <c r="I75" i="1"/>
  <c r="H75" i="1"/>
  <c r="G75" i="1"/>
  <c r="F75" i="1"/>
  <c r="E75" i="1"/>
  <c r="D75" i="1"/>
  <c r="C75" i="1"/>
  <c r="B75" i="1"/>
  <c r="M74" i="1"/>
  <c r="L74" i="1"/>
  <c r="K74" i="1"/>
  <c r="J74" i="1"/>
  <c r="I74" i="1"/>
  <c r="H74" i="1"/>
  <c r="G74" i="1"/>
  <c r="F74" i="1"/>
  <c r="E74" i="1"/>
  <c r="D74" i="1"/>
  <c r="C74" i="1"/>
  <c r="B74" i="1"/>
  <c r="M73" i="1"/>
  <c r="L73" i="1"/>
  <c r="K73" i="1"/>
  <c r="J73" i="1"/>
  <c r="I73" i="1"/>
  <c r="H73" i="1"/>
  <c r="G73" i="1"/>
  <c r="F73" i="1"/>
  <c r="E73" i="1"/>
  <c r="D73" i="1"/>
  <c r="C73" i="1"/>
  <c r="B73" i="1"/>
  <c r="M72" i="1"/>
  <c r="L72" i="1"/>
  <c r="K72" i="1"/>
  <c r="J72" i="1"/>
  <c r="I72" i="1"/>
  <c r="H72" i="1"/>
  <c r="G72" i="1"/>
  <c r="F72" i="1"/>
  <c r="E72" i="1"/>
  <c r="D72" i="1"/>
  <c r="C72" i="1"/>
  <c r="B72" i="1"/>
  <c r="M71" i="1"/>
  <c r="L71" i="1"/>
  <c r="K71" i="1"/>
  <c r="J71" i="1"/>
  <c r="I71" i="1"/>
  <c r="H71" i="1"/>
  <c r="G71" i="1"/>
  <c r="F71" i="1"/>
  <c r="E71" i="1"/>
  <c r="D71" i="1"/>
  <c r="C71" i="1"/>
  <c r="B71" i="1"/>
  <c r="M70" i="1"/>
  <c r="L70" i="1"/>
  <c r="K70" i="1"/>
  <c r="J70" i="1"/>
  <c r="I70" i="1"/>
  <c r="H70" i="1"/>
  <c r="G70" i="1"/>
  <c r="F70" i="1"/>
  <c r="E70" i="1"/>
  <c r="D70" i="1"/>
  <c r="C70" i="1"/>
  <c r="B70" i="1"/>
  <c r="M69" i="1"/>
  <c r="L69" i="1"/>
  <c r="K69" i="1"/>
  <c r="J69" i="1"/>
  <c r="I69" i="1"/>
  <c r="H69" i="1"/>
  <c r="G69" i="1"/>
  <c r="F69" i="1"/>
  <c r="E69" i="1"/>
  <c r="D69" i="1"/>
  <c r="C69" i="1"/>
  <c r="B69" i="1"/>
  <c r="M68" i="1"/>
  <c r="L68" i="1"/>
  <c r="K68" i="1"/>
  <c r="J68" i="1"/>
  <c r="I68" i="1"/>
  <c r="H68" i="1"/>
  <c r="G68" i="1"/>
  <c r="F68" i="1"/>
  <c r="E68" i="1"/>
  <c r="D68" i="1"/>
  <c r="C68" i="1"/>
  <c r="B68" i="1"/>
  <c r="M67" i="1"/>
  <c r="L67" i="1"/>
  <c r="K67" i="1"/>
  <c r="J67" i="1"/>
  <c r="I67" i="1"/>
  <c r="H67" i="1"/>
  <c r="G67" i="1"/>
  <c r="F67" i="1"/>
  <c r="E67" i="1"/>
  <c r="D67" i="1"/>
  <c r="C67" i="1"/>
  <c r="B67" i="1"/>
  <c r="M66" i="1"/>
  <c r="L66" i="1"/>
  <c r="K66" i="1"/>
  <c r="J66" i="1"/>
  <c r="I66" i="1"/>
  <c r="H66" i="1"/>
  <c r="G66" i="1"/>
  <c r="F66" i="1"/>
  <c r="E66" i="1"/>
  <c r="D66" i="1"/>
  <c r="C66" i="1"/>
  <c r="B66" i="1"/>
  <c r="M65" i="1"/>
  <c r="L65" i="1"/>
  <c r="K65" i="1"/>
  <c r="J65" i="1"/>
  <c r="I65" i="1"/>
  <c r="H65" i="1"/>
  <c r="G65" i="1"/>
  <c r="F65" i="1"/>
  <c r="E65" i="1"/>
  <c r="D65" i="1"/>
  <c r="C65" i="1"/>
  <c r="B65" i="1"/>
  <c r="M64" i="1"/>
  <c r="L64" i="1"/>
  <c r="K64" i="1"/>
  <c r="J64" i="1"/>
  <c r="I64" i="1"/>
  <c r="H64" i="1"/>
  <c r="G64" i="1"/>
  <c r="F64" i="1"/>
  <c r="E64" i="1"/>
  <c r="D64" i="1"/>
  <c r="C64" i="1"/>
  <c r="B64" i="1"/>
  <c r="M63" i="1"/>
  <c r="L63" i="1"/>
  <c r="K63" i="1"/>
  <c r="J63" i="1"/>
  <c r="I63" i="1"/>
  <c r="H63" i="1"/>
  <c r="G63" i="1"/>
  <c r="F63" i="1"/>
  <c r="E63" i="1"/>
  <c r="D63" i="1"/>
  <c r="C63" i="1"/>
  <c r="B63" i="1"/>
  <c r="M62" i="1"/>
  <c r="L62" i="1"/>
  <c r="K62" i="1"/>
  <c r="J62" i="1"/>
  <c r="I62" i="1"/>
  <c r="H62" i="1"/>
  <c r="G62" i="1"/>
  <c r="F62" i="1"/>
  <c r="E62" i="1"/>
  <c r="D62" i="1"/>
  <c r="C62" i="1"/>
  <c r="B62" i="1"/>
  <c r="M61" i="1"/>
  <c r="L61" i="1"/>
  <c r="K61" i="1"/>
  <c r="J61" i="1"/>
  <c r="I61" i="1"/>
  <c r="H61" i="1"/>
  <c r="G61" i="1"/>
  <c r="F61" i="1"/>
  <c r="E61" i="1"/>
  <c r="D61" i="1"/>
  <c r="C61" i="1"/>
  <c r="B61" i="1"/>
  <c r="M60" i="1"/>
  <c r="L60" i="1"/>
  <c r="K60" i="1"/>
  <c r="J60" i="1"/>
  <c r="I60" i="1"/>
  <c r="H60" i="1"/>
  <c r="G60" i="1"/>
  <c r="F60" i="1"/>
  <c r="E60" i="1"/>
  <c r="D60" i="1"/>
  <c r="C60" i="1"/>
  <c r="B60" i="1"/>
  <c r="M59" i="1"/>
  <c r="L59" i="1"/>
  <c r="K59" i="1"/>
  <c r="J59" i="1"/>
  <c r="I59" i="1"/>
  <c r="H59" i="1"/>
  <c r="G59" i="1"/>
  <c r="F59" i="1"/>
  <c r="E59" i="1"/>
  <c r="D59" i="1"/>
  <c r="C59" i="1"/>
  <c r="B59" i="1"/>
  <c r="M58" i="1"/>
  <c r="L58" i="1"/>
  <c r="K58" i="1"/>
  <c r="J58" i="1"/>
  <c r="I58" i="1"/>
  <c r="H58" i="1"/>
  <c r="G58" i="1"/>
  <c r="F58" i="1"/>
  <c r="E58" i="1"/>
  <c r="D58" i="1"/>
  <c r="C58" i="1"/>
  <c r="B58" i="1"/>
  <c r="M57" i="1"/>
  <c r="L57" i="1"/>
  <c r="K57" i="1"/>
  <c r="J57" i="1"/>
  <c r="I57" i="1"/>
  <c r="H57" i="1"/>
  <c r="G57" i="1"/>
  <c r="F57" i="1"/>
  <c r="E57" i="1"/>
  <c r="D57" i="1"/>
  <c r="C57" i="1"/>
  <c r="B57" i="1"/>
  <c r="M56" i="1"/>
  <c r="L56" i="1"/>
  <c r="K56" i="1"/>
  <c r="J56" i="1"/>
  <c r="I56" i="1"/>
  <c r="H56" i="1"/>
  <c r="G56" i="1"/>
  <c r="F56" i="1"/>
  <c r="E56" i="1"/>
  <c r="D56" i="1"/>
  <c r="C56" i="1"/>
  <c r="B56" i="1"/>
  <c r="M55" i="1"/>
  <c r="L55" i="1"/>
  <c r="K55" i="1"/>
  <c r="J55" i="1"/>
  <c r="I55" i="1"/>
  <c r="H55" i="1"/>
  <c r="G55" i="1"/>
  <c r="F55" i="1"/>
  <c r="E55" i="1"/>
  <c r="D55" i="1"/>
  <c r="C55" i="1"/>
  <c r="B55" i="1"/>
  <c r="M54" i="1"/>
  <c r="L54" i="1"/>
  <c r="K54" i="1"/>
  <c r="J54" i="1"/>
  <c r="I54" i="1"/>
  <c r="H54" i="1"/>
  <c r="G54" i="1"/>
  <c r="F54" i="1"/>
  <c r="E54" i="1"/>
  <c r="D54" i="1"/>
  <c r="C54" i="1"/>
  <c r="B54" i="1"/>
  <c r="M53" i="1"/>
  <c r="L53" i="1"/>
  <c r="K53" i="1"/>
  <c r="J53" i="1"/>
  <c r="I53" i="1"/>
  <c r="H53" i="1"/>
  <c r="G53" i="1"/>
  <c r="F53" i="1"/>
  <c r="E53" i="1"/>
  <c r="D53" i="1"/>
  <c r="C53" i="1"/>
  <c r="B53" i="1"/>
  <c r="M52" i="1"/>
  <c r="L52" i="1"/>
  <c r="K52" i="1"/>
  <c r="J52" i="1"/>
  <c r="I52" i="1"/>
  <c r="H52" i="1"/>
  <c r="G52" i="1"/>
  <c r="F52" i="1"/>
  <c r="E52" i="1"/>
  <c r="D52" i="1"/>
  <c r="C52" i="1"/>
  <c r="B52" i="1"/>
  <c r="M51" i="1"/>
  <c r="L51" i="1"/>
  <c r="K51" i="1"/>
  <c r="J51" i="1"/>
  <c r="I51" i="1"/>
  <c r="H51" i="1"/>
  <c r="G51" i="1"/>
  <c r="F51" i="1"/>
  <c r="E51" i="1"/>
  <c r="D51" i="1"/>
  <c r="C51" i="1"/>
  <c r="B51" i="1"/>
  <c r="M50" i="1"/>
  <c r="L50" i="1"/>
  <c r="K50" i="1"/>
  <c r="J50" i="1"/>
  <c r="I50" i="1"/>
  <c r="H50" i="1"/>
  <c r="G50" i="1"/>
  <c r="F50" i="1"/>
  <c r="E50" i="1"/>
  <c r="D50" i="1"/>
  <c r="C50" i="1"/>
  <c r="B50" i="1"/>
  <c r="M49" i="1"/>
  <c r="L49" i="1"/>
  <c r="K49" i="1"/>
  <c r="J49" i="1"/>
  <c r="I49" i="1"/>
  <c r="H49" i="1"/>
  <c r="G49" i="1"/>
  <c r="F49" i="1"/>
  <c r="E49" i="1"/>
  <c r="D49" i="1"/>
  <c r="C49" i="1"/>
  <c r="B49" i="1"/>
  <c r="M48" i="1"/>
  <c r="L48" i="1"/>
  <c r="K48" i="1"/>
  <c r="J48" i="1"/>
  <c r="I48" i="1"/>
  <c r="H48" i="1"/>
  <c r="G48" i="1"/>
  <c r="F48" i="1"/>
  <c r="E48" i="1"/>
  <c r="D48" i="1"/>
  <c r="C48" i="1"/>
  <c r="B48" i="1"/>
  <c r="M47" i="1"/>
  <c r="L47" i="1"/>
  <c r="K47" i="1"/>
  <c r="J47" i="1"/>
  <c r="I47" i="1"/>
  <c r="H47" i="1"/>
  <c r="G47" i="1"/>
  <c r="F47" i="1"/>
  <c r="E47" i="1"/>
  <c r="D47" i="1"/>
  <c r="C47" i="1"/>
  <c r="B47" i="1"/>
  <c r="M46" i="1"/>
  <c r="L46" i="1"/>
  <c r="K46" i="1"/>
  <c r="J46" i="1"/>
  <c r="I46" i="1"/>
  <c r="H46" i="1"/>
  <c r="G46" i="1"/>
  <c r="F46" i="1"/>
  <c r="E46" i="1"/>
  <c r="D46" i="1"/>
  <c r="C46" i="1"/>
  <c r="B46" i="1"/>
  <c r="M45" i="1"/>
  <c r="L45" i="1"/>
  <c r="K45" i="1"/>
  <c r="J45" i="1"/>
  <c r="I45" i="1"/>
  <c r="H45" i="1"/>
  <c r="G45" i="1"/>
  <c r="F45" i="1"/>
  <c r="E45" i="1"/>
  <c r="D45" i="1"/>
  <c r="C45" i="1"/>
  <c r="B45" i="1"/>
  <c r="M44" i="1"/>
  <c r="L44" i="1"/>
  <c r="K44" i="1"/>
  <c r="J44" i="1"/>
  <c r="I44" i="1"/>
  <c r="H44" i="1"/>
  <c r="G44" i="1"/>
  <c r="F44" i="1"/>
  <c r="E44" i="1"/>
  <c r="D44" i="1"/>
  <c r="C44" i="1"/>
  <c r="B44" i="1"/>
  <c r="M43" i="1"/>
  <c r="L43" i="1"/>
  <c r="K43" i="1"/>
  <c r="J43" i="1"/>
  <c r="I43" i="1"/>
  <c r="H43" i="1"/>
  <c r="G43" i="1"/>
  <c r="F43" i="1"/>
  <c r="E43" i="1"/>
  <c r="D43" i="1"/>
  <c r="C43" i="1"/>
  <c r="B43" i="1"/>
  <c r="M42" i="1"/>
  <c r="L42" i="1"/>
  <c r="K42" i="1"/>
  <c r="J42" i="1"/>
  <c r="I42" i="1"/>
  <c r="H42" i="1"/>
  <c r="G42" i="1"/>
  <c r="F42" i="1"/>
  <c r="E42" i="1"/>
  <c r="D42" i="1"/>
  <c r="C42" i="1"/>
  <c r="B42" i="1"/>
  <c r="M41" i="1"/>
  <c r="L41" i="1"/>
  <c r="K41" i="1"/>
  <c r="J41" i="1"/>
  <c r="I41" i="1"/>
  <c r="H41" i="1"/>
  <c r="G41" i="1"/>
  <c r="F41" i="1"/>
  <c r="E41" i="1"/>
  <c r="D41" i="1"/>
  <c r="C41" i="1"/>
  <c r="B41" i="1"/>
  <c r="M40" i="1"/>
  <c r="L40" i="1"/>
  <c r="K40" i="1"/>
  <c r="J40" i="1"/>
  <c r="I40" i="1"/>
  <c r="H40" i="1"/>
  <c r="G40" i="1"/>
  <c r="F40" i="1"/>
  <c r="E40" i="1"/>
  <c r="D40" i="1"/>
  <c r="C40" i="1"/>
  <c r="B40" i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M37" i="1"/>
  <c r="L37" i="1"/>
  <c r="K37" i="1"/>
  <c r="J37" i="1"/>
  <c r="I37" i="1"/>
  <c r="H37" i="1"/>
  <c r="G37" i="1"/>
  <c r="F37" i="1"/>
  <c r="E37" i="1"/>
  <c r="D37" i="1"/>
  <c r="C37" i="1"/>
  <c r="B37" i="1"/>
  <c r="M36" i="1"/>
  <c r="L36" i="1"/>
  <c r="K36" i="1"/>
  <c r="J36" i="1"/>
  <c r="I36" i="1"/>
  <c r="H36" i="1"/>
  <c r="G36" i="1"/>
  <c r="F36" i="1"/>
  <c r="E36" i="1"/>
  <c r="D36" i="1"/>
  <c r="C36" i="1"/>
  <c r="B36" i="1"/>
  <c r="M35" i="1"/>
  <c r="L35" i="1"/>
  <c r="K35" i="1"/>
  <c r="J35" i="1"/>
  <c r="I35" i="1"/>
  <c r="H35" i="1"/>
  <c r="G35" i="1"/>
  <c r="F35" i="1"/>
  <c r="E35" i="1"/>
  <c r="D35" i="1"/>
  <c r="C35" i="1"/>
  <c r="B35" i="1"/>
  <c r="M34" i="1"/>
  <c r="L34" i="1"/>
  <c r="K34" i="1"/>
  <c r="J34" i="1"/>
  <c r="I34" i="1"/>
  <c r="H34" i="1"/>
  <c r="G34" i="1"/>
  <c r="F34" i="1"/>
  <c r="E34" i="1"/>
  <c r="D34" i="1"/>
  <c r="C34" i="1"/>
  <c r="B34" i="1"/>
  <c r="M33" i="1"/>
  <c r="L33" i="1"/>
  <c r="K33" i="1"/>
  <c r="J33" i="1"/>
  <c r="I33" i="1"/>
  <c r="H33" i="1"/>
  <c r="G33" i="1"/>
  <c r="F33" i="1"/>
  <c r="E33" i="1"/>
  <c r="D33" i="1"/>
  <c r="C33" i="1"/>
  <c r="B33" i="1"/>
  <c r="M32" i="1"/>
  <c r="L32" i="1"/>
  <c r="K32" i="1"/>
  <c r="J32" i="1"/>
  <c r="I32" i="1"/>
  <c r="H32" i="1"/>
  <c r="G32" i="1"/>
  <c r="F32" i="1"/>
  <c r="E32" i="1"/>
  <c r="D32" i="1"/>
  <c r="C32" i="1"/>
  <c r="B32" i="1"/>
  <c r="M31" i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  <c r="M27" i="1"/>
  <c r="L27" i="1"/>
  <c r="K27" i="1"/>
  <c r="J27" i="1"/>
  <c r="I27" i="1"/>
  <c r="H27" i="1"/>
  <c r="G27" i="1"/>
  <c r="F27" i="1"/>
  <c r="E27" i="1"/>
  <c r="D27" i="1"/>
  <c r="C27" i="1"/>
  <c r="B27" i="1"/>
  <c r="M26" i="1"/>
  <c r="L26" i="1"/>
  <c r="K26" i="1"/>
  <c r="J26" i="1"/>
  <c r="I26" i="1"/>
  <c r="H26" i="1"/>
  <c r="G26" i="1"/>
  <c r="F26" i="1"/>
  <c r="E26" i="1"/>
  <c r="D26" i="1"/>
  <c r="C26" i="1"/>
  <c r="B26" i="1"/>
  <c r="M25" i="1"/>
  <c r="L25" i="1"/>
  <c r="K25" i="1"/>
  <c r="J25" i="1"/>
  <c r="I25" i="1"/>
  <c r="H25" i="1"/>
  <c r="G25" i="1"/>
  <c r="F25" i="1"/>
  <c r="E25" i="1"/>
  <c r="D25" i="1"/>
  <c r="C25" i="1"/>
  <c r="B25" i="1"/>
  <c r="M24" i="1"/>
  <c r="L24" i="1"/>
  <c r="K24" i="1"/>
  <c r="J24" i="1"/>
  <c r="I24" i="1"/>
  <c r="H24" i="1"/>
  <c r="G24" i="1"/>
  <c r="F24" i="1"/>
  <c r="E24" i="1"/>
  <c r="D24" i="1"/>
  <c r="C24" i="1"/>
  <c r="B24" i="1"/>
  <c r="M23" i="1"/>
  <c r="L23" i="1"/>
  <c r="K23" i="1"/>
  <c r="J23" i="1"/>
  <c r="I23" i="1"/>
  <c r="H23" i="1"/>
  <c r="G23" i="1"/>
  <c r="F23" i="1"/>
  <c r="E23" i="1"/>
  <c r="D23" i="1"/>
  <c r="C23" i="1"/>
  <c r="B23" i="1"/>
  <c r="M22" i="1"/>
  <c r="L22" i="1"/>
  <c r="K22" i="1"/>
  <c r="J22" i="1"/>
  <c r="I22" i="1"/>
  <c r="H22" i="1"/>
  <c r="G22" i="1"/>
  <c r="F22" i="1"/>
  <c r="E22" i="1"/>
  <c r="D22" i="1"/>
  <c r="C22" i="1"/>
  <c r="B22" i="1"/>
  <c r="M21" i="1"/>
  <c r="L21" i="1"/>
  <c r="K21" i="1"/>
  <c r="J21" i="1"/>
  <c r="I21" i="1"/>
  <c r="H21" i="1"/>
  <c r="G21" i="1"/>
  <c r="F21" i="1"/>
  <c r="E21" i="1"/>
  <c r="D21" i="1"/>
  <c r="C21" i="1"/>
  <c r="B21" i="1"/>
  <c r="M20" i="1"/>
  <c r="L20" i="1"/>
  <c r="K20" i="1"/>
  <c r="J20" i="1"/>
  <c r="I20" i="1"/>
  <c r="H20" i="1"/>
  <c r="G20" i="1"/>
  <c r="F20" i="1"/>
  <c r="E20" i="1"/>
  <c r="D20" i="1"/>
  <c r="C20" i="1"/>
  <c r="B20" i="1"/>
  <c r="M19" i="1"/>
  <c r="L19" i="1"/>
  <c r="K19" i="1"/>
  <c r="J19" i="1"/>
  <c r="I19" i="1"/>
  <c r="H19" i="1"/>
  <c r="G19" i="1"/>
  <c r="F19" i="1"/>
  <c r="E19" i="1"/>
  <c r="D19" i="1"/>
  <c r="C19" i="1"/>
  <c r="B19" i="1"/>
  <c r="M18" i="1"/>
  <c r="L18" i="1"/>
  <c r="K18" i="1"/>
  <c r="J18" i="1"/>
  <c r="I18" i="1"/>
  <c r="H18" i="1"/>
  <c r="G18" i="1"/>
  <c r="F18" i="1"/>
  <c r="E18" i="1"/>
  <c r="D18" i="1"/>
  <c r="C18" i="1"/>
  <c r="B18" i="1"/>
  <c r="M17" i="1"/>
  <c r="L17" i="1"/>
  <c r="K17" i="1"/>
  <c r="J17" i="1"/>
  <c r="I17" i="1"/>
  <c r="H17" i="1"/>
  <c r="G17" i="1"/>
  <c r="F17" i="1"/>
  <c r="E17" i="1"/>
  <c r="D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M9" i="1"/>
  <c r="L9" i="1"/>
  <c r="K9" i="1"/>
  <c r="J9" i="1"/>
  <c r="I9" i="1"/>
  <c r="H9" i="1"/>
  <c r="G9" i="1"/>
  <c r="F9" i="1"/>
  <c r="E9" i="1"/>
  <c r="D9" i="1"/>
  <c r="C9" i="1"/>
  <c r="B9" i="1"/>
  <c r="M8" i="1"/>
  <c r="L8" i="1"/>
  <c r="K8" i="1"/>
  <c r="J8" i="1"/>
  <c r="I8" i="1"/>
  <c r="H8" i="1"/>
  <c r="G8" i="1"/>
  <c r="F8" i="1"/>
  <c r="E8" i="1"/>
  <c r="D8" i="1"/>
  <c r="C8" i="1"/>
  <c r="B8" i="1"/>
  <c r="M7" i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  <c r="M3" i="1"/>
  <c r="L3" i="1"/>
  <c r="K3" i="1"/>
  <c r="J3" i="1"/>
  <c r="I3" i="1"/>
  <c r="H3" i="1"/>
  <c r="G3" i="1"/>
  <c r="F3" i="1"/>
  <c r="E3" i="1"/>
  <c r="D3" i="1"/>
  <c r="C3" i="1"/>
  <c r="B3" i="1"/>
  <c r="M2" i="1"/>
  <c r="L2" i="1"/>
  <c r="K2" i="1"/>
  <c r="J2" i="1"/>
  <c r="I2" i="1"/>
  <c r="H2" i="1"/>
  <c r="G2" i="1"/>
  <c r="F2" i="1"/>
  <c r="E2" i="1"/>
  <c r="D2" i="1"/>
  <c r="C2" i="1"/>
  <c r="B2" i="1"/>
  <c r="M1" i="1"/>
  <c r="L1" i="1"/>
  <c r="K1" i="1"/>
  <c r="J1" i="1"/>
  <c r="I1" i="1"/>
  <c r="H1" i="1"/>
  <c r="G1" i="1"/>
  <c r="F1" i="1"/>
  <c r="E1" i="1"/>
  <c r="D1" i="1"/>
  <c r="C1" i="1"/>
  <c r="B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" fontId="0" fillId="0" borderId="0" xfId="0" applyNumberFormat="1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abSelected="1" workbookViewId="0">
      <selection activeCell="N85" sqref="A1:N85"/>
    </sheetView>
  </sheetViews>
  <sheetFormatPr defaultRowHeight="15" x14ac:dyDescent="0.25"/>
  <cols>
    <col min="1" max="13" width="8.7109375" customWidth="1"/>
    <col min="14" max="14" width="10.7109375" customWidth="1"/>
  </cols>
  <sheetData>
    <row r="1" spans="1:14" x14ac:dyDescent="0.25">
      <c r="A1">
        <v>1920</v>
      </c>
      <c r="B1" s="2">
        <f>3.04*(657/100)</f>
        <v>19.972799999999999</v>
      </c>
      <c r="C1" s="2">
        <f>5.96*(657/100)</f>
        <v>39.157200000000003</v>
      </c>
      <c r="D1" s="2">
        <f>6.08*(657/100)</f>
        <v>39.945599999999999</v>
      </c>
      <c r="E1" s="2">
        <f>8.2*(657/100)</f>
        <v>53.873999999999995</v>
      </c>
      <c r="F1" s="2">
        <f>20.21*(657/100)</f>
        <v>132.77970000000002</v>
      </c>
      <c r="G1" s="2">
        <f>18.16*(657/100)</f>
        <v>119.3112</v>
      </c>
      <c r="H1" s="2">
        <f>14.38*(657/100)</f>
        <v>94.476600000000005</v>
      </c>
      <c r="I1" s="2">
        <f>2.26*(657/100)</f>
        <v>14.848199999999999</v>
      </c>
      <c r="J1" s="2">
        <f>1.73*(657/100)</f>
        <v>11.366100000000001</v>
      </c>
      <c r="K1" s="2">
        <f>0*(657/100)</f>
        <v>0</v>
      </c>
      <c r="L1" s="2">
        <f>0*(657/100)</f>
        <v>0</v>
      </c>
      <c r="M1" s="2">
        <f>1.53*(657/100)</f>
        <v>10.052100000000001</v>
      </c>
      <c r="N1" s="2">
        <f>SUM(B1:M1)</f>
        <v>535.7835</v>
      </c>
    </row>
    <row r="2" spans="1:14" x14ac:dyDescent="0.25">
      <c r="A2">
        <v>1921</v>
      </c>
      <c r="B2" s="2">
        <f>8.89*(657/100)</f>
        <v>58.407300000000006</v>
      </c>
      <c r="C2" s="2">
        <f>11.06*(657/100)</f>
        <v>72.664200000000008</v>
      </c>
      <c r="D2" s="2">
        <f>17.24*(657/100)</f>
        <v>113.26679999999999</v>
      </c>
      <c r="E2" s="2">
        <f>11.83*(657/100)</f>
        <v>77.723100000000002</v>
      </c>
      <c r="F2" s="2">
        <f>8.32*(657/100)</f>
        <v>54.662400000000005</v>
      </c>
      <c r="G2" s="2">
        <f>4.53*(657/100)</f>
        <v>29.762100000000004</v>
      </c>
      <c r="H2" s="2">
        <f>0.18*(657/100)</f>
        <v>1.1826000000000001</v>
      </c>
      <c r="I2" s="2">
        <f>1.98*(657/100)</f>
        <v>13.008600000000001</v>
      </c>
      <c r="J2" s="2">
        <f>9.56*(657/100)</f>
        <v>62.809200000000004</v>
      </c>
      <c r="K2" s="2">
        <f>5.49*(657/100)</f>
        <v>36.069300000000005</v>
      </c>
      <c r="L2" s="2">
        <f>6.07*(657/100)</f>
        <v>39.879900000000006</v>
      </c>
      <c r="M2" s="2">
        <f>2.29*(657/100)</f>
        <v>15.045300000000001</v>
      </c>
      <c r="N2" s="2">
        <f t="shared" ref="N2:N65" si="0">SUM(B2:M2)</f>
        <v>574.48080000000004</v>
      </c>
    </row>
    <row r="3" spans="1:14" x14ac:dyDescent="0.25">
      <c r="A3">
        <v>1922</v>
      </c>
      <c r="B3" s="2">
        <f>6.58*(657/100)</f>
        <v>43.230600000000003</v>
      </c>
      <c r="C3" s="2">
        <f>18.03*(657/100)</f>
        <v>118.45710000000001</v>
      </c>
      <c r="D3" s="2">
        <f>7.78*(657/100)</f>
        <v>51.114600000000003</v>
      </c>
      <c r="E3" s="2">
        <f>30.36*(657/100)</f>
        <v>199.46520000000001</v>
      </c>
      <c r="F3" s="2">
        <f>24.34*(657/100)</f>
        <v>159.91380000000001</v>
      </c>
      <c r="G3" s="2">
        <f>11.57*(657/100)</f>
        <v>76.014900000000011</v>
      </c>
      <c r="H3" s="2">
        <f>7.45*(657/100)</f>
        <v>48.9465</v>
      </c>
      <c r="I3" s="2">
        <f>10.19*(657/100)</f>
        <v>66.948300000000003</v>
      </c>
      <c r="J3" s="2">
        <f>9.91*(657/100)</f>
        <v>65.108699999999999</v>
      </c>
      <c r="K3" s="2">
        <f>3.49*(657/100)</f>
        <v>22.929300000000001</v>
      </c>
      <c r="L3" s="2">
        <f>2.47*(657/100)</f>
        <v>16.227900000000002</v>
      </c>
      <c r="M3" s="2">
        <f>1.31*(657/100)</f>
        <v>8.6067</v>
      </c>
      <c r="N3" s="2">
        <f t="shared" si="0"/>
        <v>876.96360000000016</v>
      </c>
    </row>
    <row r="4" spans="1:14" x14ac:dyDescent="0.25">
      <c r="A4">
        <v>1923</v>
      </c>
      <c r="B4" s="2">
        <f>3.82*(657/100)</f>
        <v>25.0974</v>
      </c>
      <c r="C4" s="2">
        <f>17.75*(657/100)</f>
        <v>116.61750000000001</v>
      </c>
      <c r="D4" s="2">
        <f>5.61*(657/100)</f>
        <v>36.857700000000001</v>
      </c>
      <c r="E4" s="2">
        <f>9.88*(657/100)</f>
        <v>64.911600000000007</v>
      </c>
      <c r="F4" s="2">
        <f>10.65*(657/100)</f>
        <v>69.970500000000001</v>
      </c>
      <c r="G4" s="2">
        <f>36.78*(657/100)</f>
        <v>241.64460000000003</v>
      </c>
      <c r="H4" s="2">
        <f>3.32*(657/100)</f>
        <v>21.8124</v>
      </c>
      <c r="I4" s="2">
        <f>2.54*(657/100)</f>
        <v>16.687799999999999</v>
      </c>
      <c r="J4" s="2">
        <f>0.88*(657/100)</f>
        <v>5.7816000000000001</v>
      </c>
      <c r="K4" s="2">
        <f>0.84*(657/100)</f>
        <v>5.5187999999999997</v>
      </c>
      <c r="L4" s="2">
        <f>2.09*(657/100)</f>
        <v>13.731299999999999</v>
      </c>
      <c r="M4" s="2">
        <f>5.96*(657/100)</f>
        <v>39.157200000000003</v>
      </c>
      <c r="N4" s="2">
        <f t="shared" si="0"/>
        <v>657.78840000000025</v>
      </c>
    </row>
    <row r="5" spans="1:14" x14ac:dyDescent="0.25">
      <c r="A5">
        <v>1924</v>
      </c>
      <c r="B5" s="2">
        <f>4.65*(657/100)</f>
        <v>30.550500000000003</v>
      </c>
      <c r="C5" s="2">
        <f>14.84*(657/100)</f>
        <v>97.498800000000003</v>
      </c>
      <c r="D5" s="2">
        <f>20.06*(657/100)</f>
        <v>131.79419999999999</v>
      </c>
      <c r="E5" s="2">
        <f>13.51*(657/100)</f>
        <v>88.7607</v>
      </c>
      <c r="F5" s="2">
        <f>14.94*(657/100)</f>
        <v>98.155799999999999</v>
      </c>
      <c r="G5" s="2">
        <f>37.47*(657/100)</f>
        <v>246.17789999999999</v>
      </c>
      <c r="H5" s="2">
        <f>24.09*(657/100)</f>
        <v>158.2713</v>
      </c>
      <c r="I5" s="2">
        <f>11.4*(657/100)</f>
        <v>74.89800000000001</v>
      </c>
      <c r="J5" s="2">
        <f>3.15*(657/100)</f>
        <v>20.695499999999999</v>
      </c>
      <c r="K5" s="2">
        <f>2.41*(657/100)</f>
        <v>15.833700000000002</v>
      </c>
      <c r="L5" s="2">
        <f>2.34*(657/100)</f>
        <v>15.373799999999999</v>
      </c>
      <c r="M5" s="2">
        <f>1.99*(657/100)</f>
        <v>13.074300000000001</v>
      </c>
      <c r="N5" s="2">
        <f t="shared" si="0"/>
        <v>991.08450000000005</v>
      </c>
    </row>
    <row r="6" spans="1:14" x14ac:dyDescent="0.25">
      <c r="A6">
        <v>1925</v>
      </c>
      <c r="B6" s="2">
        <f>4.19*(657/100)</f>
        <v>27.528300000000005</v>
      </c>
      <c r="C6" s="2">
        <f>11.03*(657/100)</f>
        <v>72.467100000000002</v>
      </c>
      <c r="D6" s="2">
        <f>11.07*(657/100)</f>
        <v>72.729900000000001</v>
      </c>
      <c r="E6" s="2">
        <f>10.11*(657/100)</f>
        <v>66.422700000000006</v>
      </c>
      <c r="F6" s="2">
        <f>10.12*(657/100)</f>
        <v>66.488399999999999</v>
      </c>
      <c r="G6" s="2">
        <f>21.01*(657/100)</f>
        <v>138.03570000000002</v>
      </c>
      <c r="H6" s="2">
        <f>4.2*(657/100)</f>
        <v>27.594000000000001</v>
      </c>
      <c r="I6" s="2">
        <f>2.67*(657/100)</f>
        <v>17.541900000000002</v>
      </c>
      <c r="J6" s="2">
        <f>1.87*(657/100)</f>
        <v>12.285900000000002</v>
      </c>
      <c r="K6" s="2">
        <f>0.51*(657/100)</f>
        <v>3.3507000000000002</v>
      </c>
      <c r="L6" s="2">
        <f>0.03*(657/100)</f>
        <v>0.1971</v>
      </c>
      <c r="M6" s="2">
        <f>4.55*(657/100)</f>
        <v>29.8935</v>
      </c>
      <c r="N6" s="2">
        <f t="shared" si="0"/>
        <v>534.53520000000003</v>
      </c>
    </row>
    <row r="7" spans="1:14" x14ac:dyDescent="0.25">
      <c r="A7">
        <v>1926</v>
      </c>
      <c r="B7" s="2">
        <f>4.83*(657/100)</f>
        <v>31.7331</v>
      </c>
      <c r="C7" s="2">
        <f>12.31*(657/100)</f>
        <v>80.876700000000014</v>
      </c>
      <c r="D7" s="2">
        <f>8.89*(657/100)</f>
        <v>58.407300000000006</v>
      </c>
      <c r="E7" s="2">
        <f>8.88*(657/100)</f>
        <v>58.341600000000007</v>
      </c>
      <c r="F7" s="2">
        <f>9.04*(657/100)</f>
        <v>59.392799999999994</v>
      </c>
      <c r="G7" s="2">
        <f>24.51*(657/100)</f>
        <v>161.03070000000002</v>
      </c>
      <c r="H7" s="2">
        <f>2.76*(657/100)</f>
        <v>18.133199999999999</v>
      </c>
      <c r="I7" s="2">
        <f>1.67*(657/100)</f>
        <v>10.9719</v>
      </c>
      <c r="J7" s="2">
        <f>0*(657/100)</f>
        <v>0</v>
      </c>
      <c r="K7" s="2">
        <f>1.88*(657/100)</f>
        <v>12.351599999999999</v>
      </c>
      <c r="L7" s="2">
        <f>2.2*(657/100)</f>
        <v>14.454000000000002</v>
      </c>
      <c r="M7" s="2">
        <f>1.25*(657/100)</f>
        <v>8.2125000000000004</v>
      </c>
      <c r="N7" s="2">
        <f t="shared" si="0"/>
        <v>513.9054000000001</v>
      </c>
    </row>
    <row r="8" spans="1:14" x14ac:dyDescent="0.25">
      <c r="A8">
        <v>1927</v>
      </c>
      <c r="B8" s="2">
        <f>8.16*(657/100)</f>
        <v>53.611200000000004</v>
      </c>
      <c r="C8" s="2">
        <f>8.56*(657/100)</f>
        <v>56.239200000000004</v>
      </c>
      <c r="D8" s="2">
        <f>21.97*(657/100)</f>
        <v>144.34289999999999</v>
      </c>
      <c r="E8" s="2">
        <f>18.07*(657/100)</f>
        <v>118.71990000000001</v>
      </c>
      <c r="F8" s="2">
        <f>11.02*(657/100)</f>
        <v>72.401399999999995</v>
      </c>
      <c r="G8" s="2">
        <f>12.62*(657/100)</f>
        <v>82.913399999999996</v>
      </c>
      <c r="H8" s="2">
        <f>3.82*(657/100)</f>
        <v>25.0974</v>
      </c>
      <c r="I8" s="2">
        <f>0.34*(657/100)</f>
        <v>2.2338000000000005</v>
      </c>
      <c r="J8" s="2">
        <f>0.24*(657/100)</f>
        <v>1.5768</v>
      </c>
      <c r="K8" s="2">
        <f>0.44*(657/100)</f>
        <v>2.8908</v>
      </c>
      <c r="L8" s="2">
        <f>1.42*(657/100)</f>
        <v>9.3293999999999997</v>
      </c>
      <c r="M8" s="2">
        <f>5.68*(657/100)</f>
        <v>37.317599999999999</v>
      </c>
      <c r="N8" s="2">
        <f t="shared" si="0"/>
        <v>606.67380000000003</v>
      </c>
    </row>
    <row r="9" spans="1:14" x14ac:dyDescent="0.25">
      <c r="A9">
        <v>1928</v>
      </c>
      <c r="B9" s="2">
        <f>8.52*(657/100)</f>
        <v>55.976399999999998</v>
      </c>
      <c r="C9" s="2">
        <f>22.42*(657/100)</f>
        <v>147.29940000000002</v>
      </c>
      <c r="D9" s="2">
        <f>14.57*(657/100)</f>
        <v>95.724900000000005</v>
      </c>
      <c r="E9" s="2">
        <f>15.32*(657/100)</f>
        <v>100.6524</v>
      </c>
      <c r="F9" s="2">
        <f>3.54*(657/100)</f>
        <v>23.2578</v>
      </c>
      <c r="G9" s="2">
        <f>16*(657/100)</f>
        <v>105.12</v>
      </c>
      <c r="H9" s="2">
        <f>0.82*(657/100)</f>
        <v>5.3873999999999995</v>
      </c>
      <c r="I9" s="2">
        <f>6.73*(657/100)</f>
        <v>44.216100000000004</v>
      </c>
      <c r="J9" s="2">
        <f>6.66*(657/100)</f>
        <v>43.7562</v>
      </c>
      <c r="K9" s="2">
        <f>7.28*(657/100)</f>
        <v>47.829600000000006</v>
      </c>
      <c r="L9" s="2">
        <f>1.19*(657/100)</f>
        <v>7.8182999999999998</v>
      </c>
      <c r="M9" s="2">
        <f>26.77*(657/100)</f>
        <v>175.87890000000002</v>
      </c>
      <c r="N9" s="2">
        <f t="shared" si="0"/>
        <v>852.91740000000004</v>
      </c>
    </row>
    <row r="10" spans="1:14" x14ac:dyDescent="0.25">
      <c r="A10">
        <v>1929</v>
      </c>
      <c r="B10" s="2">
        <f>7.04*(657/100)</f>
        <v>46.252800000000001</v>
      </c>
      <c r="C10" s="2">
        <f>9.5*(657/100)</f>
        <v>62.415000000000006</v>
      </c>
      <c r="D10" s="2">
        <f>20*(657/100)</f>
        <v>131.4</v>
      </c>
      <c r="E10" s="2">
        <f>16.1*(657/100)</f>
        <v>105.77700000000002</v>
      </c>
      <c r="F10" s="2">
        <f>8.68*(657/100)</f>
        <v>57.0276</v>
      </c>
      <c r="G10" s="2">
        <f>14.53*(657/100)</f>
        <v>95.462100000000007</v>
      </c>
      <c r="H10" s="2">
        <f>8.48*(657/100)</f>
        <v>55.713600000000007</v>
      </c>
      <c r="I10" s="2">
        <f>3.41*(657/100)</f>
        <v>22.403700000000001</v>
      </c>
      <c r="J10" s="2">
        <f>1.69*(657/100)</f>
        <v>11.103300000000001</v>
      </c>
      <c r="K10" s="2">
        <f>0.19*(657/100)</f>
        <v>1.2483</v>
      </c>
      <c r="L10" s="2">
        <f>13.45*(657/100)</f>
        <v>88.366500000000002</v>
      </c>
      <c r="M10" s="2">
        <f>0.66*(657/100)</f>
        <v>4.3362000000000007</v>
      </c>
      <c r="N10" s="2">
        <f t="shared" si="0"/>
        <v>681.50609999999995</v>
      </c>
    </row>
    <row r="11" spans="1:14" x14ac:dyDescent="0.25">
      <c r="A11">
        <v>1930</v>
      </c>
      <c r="B11" s="2">
        <f>8.38*(657/100)</f>
        <v>55.05660000000001</v>
      </c>
      <c r="C11" s="2">
        <f>3.74*(657/100)</f>
        <v>24.571800000000003</v>
      </c>
      <c r="D11" s="2">
        <f>9.85*(657/100)</f>
        <v>64.714500000000001</v>
      </c>
      <c r="E11" s="2">
        <f>15.44*(657/100)</f>
        <v>101.4408</v>
      </c>
      <c r="F11" s="2">
        <f>14.56*(657/100)</f>
        <v>95.659200000000013</v>
      </c>
      <c r="G11" s="2">
        <f>17.41*(657/100)</f>
        <v>114.3837</v>
      </c>
      <c r="H11" s="2">
        <f>11.75*(657/100)</f>
        <v>77.197500000000005</v>
      </c>
      <c r="I11" s="2">
        <f>0.24*(657/100)</f>
        <v>1.5768</v>
      </c>
      <c r="J11" s="2">
        <f>0.19*(657/100)</f>
        <v>1.2483</v>
      </c>
      <c r="K11" s="2">
        <f>15.32*(657/100)</f>
        <v>100.6524</v>
      </c>
      <c r="L11" s="2">
        <f>0.4*(657/100)</f>
        <v>2.6280000000000001</v>
      </c>
      <c r="M11" s="2">
        <f>0.07*(657/100)</f>
        <v>0.45990000000000009</v>
      </c>
      <c r="N11" s="2">
        <f t="shared" si="0"/>
        <v>639.58950000000004</v>
      </c>
    </row>
    <row r="12" spans="1:14" x14ac:dyDescent="0.25">
      <c r="A12">
        <v>1931</v>
      </c>
      <c r="B12" s="2">
        <f>12.81*(657/100)</f>
        <v>84.16170000000001</v>
      </c>
      <c r="C12" s="2">
        <f>12.72*(657/100)</f>
        <v>83.570400000000006</v>
      </c>
      <c r="D12" s="2">
        <f>17.44*(657/100)</f>
        <v>114.58080000000001</v>
      </c>
      <c r="E12" s="2">
        <f>7.63*(657/100)</f>
        <v>50.129100000000001</v>
      </c>
      <c r="F12" s="2">
        <f>14.42*(657/100)</f>
        <v>94.739400000000003</v>
      </c>
      <c r="G12" s="2">
        <f>7.19*(657/100)</f>
        <v>47.238300000000002</v>
      </c>
      <c r="H12" s="2">
        <f>1.75*(657/100)</f>
        <v>11.4975</v>
      </c>
      <c r="I12" s="2">
        <f>1.51*(657/100)</f>
        <v>9.9207000000000001</v>
      </c>
      <c r="J12" s="2">
        <f>0.84*(657/100)</f>
        <v>5.5187999999999997</v>
      </c>
      <c r="K12" s="2">
        <f>2.11*(657/100)</f>
        <v>13.8627</v>
      </c>
      <c r="L12" s="2">
        <f>0.01*(657/100)</f>
        <v>6.5700000000000008E-2</v>
      </c>
      <c r="M12" s="2">
        <f>11.3*(657/100)</f>
        <v>74.241000000000014</v>
      </c>
      <c r="N12" s="2">
        <f t="shared" si="0"/>
        <v>589.52609999999993</v>
      </c>
    </row>
    <row r="13" spans="1:14" x14ac:dyDescent="0.25">
      <c r="A13">
        <v>1932</v>
      </c>
      <c r="B13" s="2">
        <f>2.41*(657/100)</f>
        <v>15.833700000000002</v>
      </c>
      <c r="C13" s="2">
        <f>7.71*(657/100)</f>
        <v>50.654700000000005</v>
      </c>
      <c r="D13" s="2">
        <f>7.07*(657/100)</f>
        <v>46.449900000000007</v>
      </c>
      <c r="E13" s="2">
        <f>5.93*(657/100)</f>
        <v>38.960099999999997</v>
      </c>
      <c r="F13" s="2">
        <f>6.83*(657/100)</f>
        <v>44.873100000000001</v>
      </c>
      <c r="G13" s="2">
        <f>13.82*(657/100)</f>
        <v>90.79740000000001</v>
      </c>
      <c r="H13" s="2">
        <f>6.34*(657/100)</f>
        <v>41.653800000000004</v>
      </c>
      <c r="I13" s="2">
        <f>0.52*(657/100)</f>
        <v>3.4164000000000003</v>
      </c>
      <c r="J13" s="2">
        <f>1.79*(657/100)</f>
        <v>11.760300000000001</v>
      </c>
      <c r="K13" s="2">
        <f>0.45*(657/100)</f>
        <v>2.9565000000000001</v>
      </c>
      <c r="L13" s="2">
        <f>2.05*(657/100)</f>
        <v>13.468499999999999</v>
      </c>
      <c r="M13" s="2">
        <f>1.78*(657/100)</f>
        <v>11.694600000000001</v>
      </c>
      <c r="N13" s="2">
        <f t="shared" si="0"/>
        <v>372.51900000000001</v>
      </c>
    </row>
    <row r="14" spans="1:14" x14ac:dyDescent="0.25">
      <c r="A14">
        <v>1933</v>
      </c>
      <c r="B14" s="2">
        <f>0.42*(657/100)</f>
        <v>2.7593999999999999</v>
      </c>
      <c r="C14" s="2">
        <f>26.51*(657/100)</f>
        <v>174.17070000000001</v>
      </c>
      <c r="D14" s="2">
        <f>26.02*(657/100)</f>
        <v>170.95140000000001</v>
      </c>
      <c r="E14" s="2">
        <f>26.1*(657/100)</f>
        <v>171.477</v>
      </c>
      <c r="F14" s="2">
        <f>9.71*(657/100)</f>
        <v>63.794700000000006</v>
      </c>
      <c r="G14" s="2">
        <f>18.63*(657/100)</f>
        <v>122.3991</v>
      </c>
      <c r="H14" s="2">
        <f>9.34*(657/100)</f>
        <v>61.363800000000005</v>
      </c>
      <c r="I14" s="2">
        <f>5.28*(657/100)</f>
        <v>34.689600000000006</v>
      </c>
      <c r="J14" s="2">
        <f>0.32*(657/100)</f>
        <v>2.1024000000000003</v>
      </c>
      <c r="K14" s="2">
        <f>4.77*(657/100)</f>
        <v>31.338899999999999</v>
      </c>
      <c r="L14" s="2">
        <f>0.28*(657/100)</f>
        <v>1.8396000000000003</v>
      </c>
      <c r="M14" s="2">
        <f>0.61*(657/100)</f>
        <v>4.0076999999999998</v>
      </c>
      <c r="N14" s="2">
        <f t="shared" si="0"/>
        <v>840.89430000000004</v>
      </c>
    </row>
    <row r="15" spans="1:14" x14ac:dyDescent="0.25">
      <c r="A15">
        <v>1934</v>
      </c>
      <c r="B15" s="2">
        <f>13.51*(657/100)</f>
        <v>88.7607</v>
      </c>
      <c r="C15" s="2">
        <f>17.97*(657/100)</f>
        <v>118.0629</v>
      </c>
      <c r="D15" s="2">
        <f>17.02*(657/100)</f>
        <v>111.8214</v>
      </c>
      <c r="E15" s="2">
        <f>8.91*(657/100)</f>
        <v>58.538700000000006</v>
      </c>
      <c r="F15" s="2">
        <f>11.26*(657/100)</f>
        <v>73.978200000000001</v>
      </c>
      <c r="G15" s="2">
        <f>18.35*(657/100)</f>
        <v>120.55950000000001</v>
      </c>
      <c r="H15" s="2">
        <f>8.36*(657/100)</f>
        <v>54.925199999999997</v>
      </c>
      <c r="I15" s="2">
        <f>11.3*(657/100)</f>
        <v>74.241000000000014</v>
      </c>
      <c r="J15" s="2">
        <f>0.52*(657/100)</f>
        <v>3.4164000000000003</v>
      </c>
      <c r="K15" s="2">
        <f>0.68*(657/100)</f>
        <v>4.4676000000000009</v>
      </c>
      <c r="L15" s="2">
        <f>8.87*(657/100)</f>
        <v>58.2759</v>
      </c>
      <c r="M15" s="2">
        <f>1.21*(657/100)</f>
        <v>7.9497</v>
      </c>
      <c r="N15" s="2">
        <f t="shared" si="0"/>
        <v>774.99719999999991</v>
      </c>
    </row>
    <row r="16" spans="1:14" x14ac:dyDescent="0.25">
      <c r="A16">
        <v>1935</v>
      </c>
      <c r="B16" s="2">
        <f>4.91*(657/100)</f>
        <v>32.258700000000005</v>
      </c>
      <c r="C16" s="2">
        <f>13.43*(657/100)</f>
        <v>88.235100000000003</v>
      </c>
      <c r="D16" s="2">
        <f>6.94*(657/100)</f>
        <v>45.595800000000004</v>
      </c>
      <c r="E16" s="2">
        <f>7.26*(657/100)</f>
        <v>47.6982</v>
      </c>
      <c r="F16" s="2">
        <f>11.86*(657/100)</f>
        <v>77.920199999999994</v>
      </c>
      <c r="G16" s="2">
        <f>10.39*(657/100)</f>
        <v>68.26230000000001</v>
      </c>
      <c r="H16" s="2">
        <f>6.24*(657/100)</f>
        <v>40.9968</v>
      </c>
      <c r="I16" s="2">
        <f>7.58*(657/100)</f>
        <v>49.800600000000003</v>
      </c>
      <c r="J16" s="2">
        <f>1.19*(657/100)</f>
        <v>7.8182999999999998</v>
      </c>
      <c r="K16" s="2">
        <f>4.77*(657/100)</f>
        <v>31.338899999999999</v>
      </c>
      <c r="L16" s="2">
        <f>0.08*(657/100)</f>
        <v>0.52560000000000007</v>
      </c>
      <c r="M16" s="2">
        <f>3.47*(657/100)</f>
        <v>22.797900000000002</v>
      </c>
      <c r="N16" s="2">
        <f t="shared" si="0"/>
        <v>513.24840000000006</v>
      </c>
    </row>
    <row r="17" spans="1:14" x14ac:dyDescent="0.25">
      <c r="A17">
        <v>1936</v>
      </c>
      <c r="B17" s="2">
        <f>11.06*(657/100)</f>
        <v>72.664200000000008</v>
      </c>
      <c r="C17" s="2">
        <f>22.4*(657/100)</f>
        <v>147.16800000000001</v>
      </c>
      <c r="D17" s="2">
        <f>13.91*(657/100)</f>
        <v>91.3887</v>
      </c>
      <c r="E17" s="2">
        <f>21.66*(657/100)</f>
        <v>142.30620000000002</v>
      </c>
      <c r="F17" s="2">
        <f>11.27*(657/100)</f>
        <v>74.043899999999994</v>
      </c>
      <c r="G17" s="2">
        <f>9.64*(657/100)</f>
        <v>63.334800000000008</v>
      </c>
      <c r="H17" s="2">
        <f>1.55*(657/100)</f>
        <v>10.1835</v>
      </c>
      <c r="I17" s="2">
        <f>6.43*(657/100)</f>
        <v>42.245100000000001</v>
      </c>
      <c r="J17" s="2">
        <f>0.44*(657/100)</f>
        <v>2.8908</v>
      </c>
      <c r="K17" s="2">
        <f>2.68*(657/100)</f>
        <v>17.607600000000001</v>
      </c>
      <c r="L17" s="2">
        <f>1.71*(657/100)</f>
        <v>11.2347</v>
      </c>
      <c r="M17" s="2">
        <f>0.29*(657/100)</f>
        <v>1.9053</v>
      </c>
      <c r="N17" s="2">
        <f t="shared" si="0"/>
        <v>676.97280000000001</v>
      </c>
    </row>
    <row r="18" spans="1:14" x14ac:dyDescent="0.25">
      <c r="A18">
        <v>1937</v>
      </c>
      <c r="B18" s="2">
        <f>5.64*(657/100)</f>
        <v>37.0548</v>
      </c>
      <c r="C18" s="2">
        <f>5.06*(657/100)</f>
        <v>33.244199999999999</v>
      </c>
      <c r="D18" s="2">
        <f>16.21*(657/100)</f>
        <v>106.4997</v>
      </c>
      <c r="E18" s="2">
        <f>11.59*(657/100)</f>
        <v>76.146299999999997</v>
      </c>
      <c r="F18" s="2">
        <f>23.14*(657/100)</f>
        <v>152.02980000000002</v>
      </c>
      <c r="G18" s="2">
        <f>6.68*(657/100)</f>
        <v>43.887599999999999</v>
      </c>
      <c r="H18" s="2">
        <f>11.07*(657/100)</f>
        <v>72.729900000000001</v>
      </c>
      <c r="I18" s="2">
        <f>2.76*(657/100)</f>
        <v>18.133199999999999</v>
      </c>
      <c r="J18" s="2">
        <f>4.55*(657/100)</f>
        <v>29.8935</v>
      </c>
      <c r="K18" s="2">
        <f>2.17*(657/100)</f>
        <v>14.2569</v>
      </c>
      <c r="L18" s="2">
        <f>3.65*(657/100)</f>
        <v>23.980499999999999</v>
      </c>
      <c r="M18" s="2">
        <f>1.36*(657/100)</f>
        <v>8.9352000000000018</v>
      </c>
      <c r="N18" s="2">
        <f t="shared" si="0"/>
        <v>616.79160000000002</v>
      </c>
    </row>
    <row r="19" spans="1:14" x14ac:dyDescent="0.25">
      <c r="A19">
        <v>1938</v>
      </c>
      <c r="B19" s="2">
        <f>14.62*(657/100)</f>
        <v>96.053399999999996</v>
      </c>
      <c r="C19" s="2">
        <f>14.28*(657/100)</f>
        <v>93.819599999999994</v>
      </c>
      <c r="D19" s="2">
        <f>14.19*(657/100)</f>
        <v>93.228300000000004</v>
      </c>
      <c r="E19" s="2">
        <f>17.12*(657/100)</f>
        <v>112.47840000000001</v>
      </c>
      <c r="F19" s="2">
        <f>24.12*(657/100)</f>
        <v>158.4684</v>
      </c>
      <c r="G19" s="2">
        <f>3.77*(657/100)</f>
        <v>24.768900000000002</v>
      </c>
      <c r="H19" s="2">
        <f>5.44*(657/100)</f>
        <v>35.740800000000007</v>
      </c>
      <c r="I19" s="2">
        <f>5.97*(657/100)</f>
        <v>39.222900000000003</v>
      </c>
      <c r="J19" s="2">
        <f>0.65*(657/100)</f>
        <v>4.2705000000000002</v>
      </c>
      <c r="K19" s="2">
        <f>4.27*(657/100)</f>
        <v>28.053899999999999</v>
      </c>
      <c r="L19" s="2">
        <f>5.64*(657/100)</f>
        <v>37.0548</v>
      </c>
      <c r="M19" s="2">
        <f>6.55*(657/100)</f>
        <v>43.033500000000004</v>
      </c>
      <c r="N19" s="2">
        <f t="shared" si="0"/>
        <v>766.1934</v>
      </c>
    </row>
    <row r="20" spans="1:14" x14ac:dyDescent="0.25">
      <c r="A20">
        <v>1939</v>
      </c>
      <c r="B20" s="2">
        <f>12.56*(657/100)</f>
        <v>82.519200000000012</v>
      </c>
      <c r="C20" s="2">
        <f>7.24*(657/100)</f>
        <v>47.566800000000001</v>
      </c>
      <c r="D20" s="2">
        <f>5.78*(657/100)</f>
        <v>37.974600000000002</v>
      </c>
      <c r="E20" s="2">
        <f>5.59*(657/100)</f>
        <v>36.726300000000002</v>
      </c>
      <c r="F20" s="2">
        <f>17.76*(657/100)</f>
        <v>116.68320000000001</v>
      </c>
      <c r="G20" s="2">
        <f>20.98*(657/100)</f>
        <v>137.83860000000001</v>
      </c>
      <c r="H20" s="2">
        <f>8.23*(657/100)</f>
        <v>54.071100000000008</v>
      </c>
      <c r="I20" s="2">
        <f>10.16*(657/100)</f>
        <v>66.751199999999997</v>
      </c>
      <c r="J20" s="2">
        <f>0.37*(657/100)</f>
        <v>2.4309000000000003</v>
      </c>
      <c r="K20" s="2">
        <f>1.72*(657/100)</f>
        <v>11.3004</v>
      </c>
      <c r="L20" s="2">
        <f>0.68*(657/100)</f>
        <v>4.4676000000000009</v>
      </c>
      <c r="M20" s="2">
        <f>11.57*(657/100)</f>
        <v>76.014900000000011</v>
      </c>
      <c r="N20" s="2">
        <f t="shared" si="0"/>
        <v>674.34479999999996</v>
      </c>
    </row>
    <row r="21" spans="1:14" x14ac:dyDescent="0.25">
      <c r="A21">
        <v>1940</v>
      </c>
      <c r="B21" s="2">
        <f>1.89*(657/100)</f>
        <v>12.417299999999999</v>
      </c>
      <c r="C21" s="2">
        <f>13.73*(657/100)</f>
        <v>90.206100000000006</v>
      </c>
      <c r="D21" s="2">
        <f>13.54*(657/100)</f>
        <v>88.957799999999992</v>
      </c>
      <c r="E21" s="2">
        <f>17.62*(657/100)</f>
        <v>115.76340000000002</v>
      </c>
      <c r="F21" s="2">
        <f>24.28*(657/100)</f>
        <v>159.51960000000003</v>
      </c>
      <c r="G21" s="2">
        <f>6.08*(657/100)</f>
        <v>39.945599999999999</v>
      </c>
      <c r="H21" s="2">
        <f>12.56*(657/100)</f>
        <v>82.519200000000012</v>
      </c>
      <c r="I21" s="2">
        <f>3.33*(657/100)</f>
        <v>21.8781</v>
      </c>
      <c r="J21" s="2">
        <f>1.05*(657/100)</f>
        <v>6.8985000000000003</v>
      </c>
      <c r="K21" s="2">
        <f>2.27*(657/100)</f>
        <v>14.9139</v>
      </c>
      <c r="L21" s="2">
        <f>2.59*(657/100)</f>
        <v>17.016300000000001</v>
      </c>
      <c r="M21" s="2">
        <f>3.58*(657/100)</f>
        <v>23.520600000000002</v>
      </c>
      <c r="N21" s="2">
        <f t="shared" si="0"/>
        <v>673.55640000000017</v>
      </c>
    </row>
    <row r="22" spans="1:14" x14ac:dyDescent="0.25">
      <c r="A22">
        <v>1941</v>
      </c>
      <c r="B22" s="2">
        <f>10.58*(657/100)</f>
        <v>69.510599999999997</v>
      </c>
      <c r="C22" s="2">
        <f>0.74*(657/100)</f>
        <v>4.8618000000000006</v>
      </c>
      <c r="D22" s="2">
        <f>1.92*(657/100)</f>
        <v>12.6144</v>
      </c>
      <c r="E22" s="2">
        <f>19.55*(657/100)</f>
        <v>128.4435</v>
      </c>
      <c r="F22" s="2">
        <f>16.51*(657/100)</f>
        <v>108.47070000000001</v>
      </c>
      <c r="G22" s="2">
        <f>17.9*(657/100)</f>
        <v>117.60299999999999</v>
      </c>
      <c r="H22" s="2">
        <f>6.53*(657/100)</f>
        <v>42.902100000000004</v>
      </c>
      <c r="I22" s="2">
        <f>2.46*(657/100)</f>
        <v>16.162200000000002</v>
      </c>
      <c r="J22" s="2">
        <f>1.33*(657/100)</f>
        <v>8.7381000000000011</v>
      </c>
      <c r="K22" s="2">
        <f>0*(657/100)</f>
        <v>0</v>
      </c>
      <c r="L22" s="2">
        <f>9.96*(657/100)</f>
        <v>65.437200000000004</v>
      </c>
      <c r="M22" s="2">
        <f>5.8*(657/100)</f>
        <v>38.106000000000002</v>
      </c>
      <c r="N22" s="2">
        <f t="shared" si="0"/>
        <v>612.84960000000001</v>
      </c>
    </row>
    <row r="23" spans="1:14" x14ac:dyDescent="0.25">
      <c r="A23">
        <v>1942</v>
      </c>
      <c r="B23" s="2">
        <f>13.51*(657/100)</f>
        <v>88.7607</v>
      </c>
      <c r="C23" s="2">
        <f>15.64*(657/100)</f>
        <v>102.7548</v>
      </c>
      <c r="D23" s="2">
        <f>22.68*(657/100)</f>
        <v>149.0076</v>
      </c>
      <c r="E23" s="2">
        <f>7.01*(657/100)</f>
        <v>46.055700000000002</v>
      </c>
      <c r="F23" s="2">
        <f>6.63*(657/100)</f>
        <v>43.559100000000001</v>
      </c>
      <c r="G23" s="2">
        <f>11.15*(657/100)</f>
        <v>73.255500000000012</v>
      </c>
      <c r="H23" s="2">
        <f>17.81*(657/100)</f>
        <v>117.01169999999999</v>
      </c>
      <c r="I23" s="2">
        <f>12.97*(657/100)</f>
        <v>85.212900000000005</v>
      </c>
      <c r="J23" s="2">
        <f>1.71*(657/100)</f>
        <v>11.2347</v>
      </c>
      <c r="K23" s="2">
        <f>0.35*(657/100)</f>
        <v>2.2995000000000001</v>
      </c>
      <c r="L23" s="2">
        <f>8.29*(657/100)</f>
        <v>54.465299999999999</v>
      </c>
      <c r="M23" s="2">
        <f>2.71*(657/100)</f>
        <v>17.8047</v>
      </c>
      <c r="N23" s="2">
        <f t="shared" si="0"/>
        <v>791.42219999999998</v>
      </c>
    </row>
    <row r="24" spans="1:14" x14ac:dyDescent="0.25">
      <c r="A24">
        <v>1943</v>
      </c>
      <c r="B24" s="2">
        <f>7.97*(657/100)</f>
        <v>52.362900000000003</v>
      </c>
      <c r="C24" s="2">
        <f>30.54*(657/100)</f>
        <v>200.64779999999999</v>
      </c>
      <c r="D24" s="2">
        <f>18.05*(657/100)</f>
        <v>118.58850000000001</v>
      </c>
      <c r="E24" s="2">
        <f>11.04*(657/100)</f>
        <v>72.532799999999995</v>
      </c>
      <c r="F24" s="2">
        <f>9.47*(657/100)</f>
        <v>62.217900000000007</v>
      </c>
      <c r="G24" s="2">
        <f>20.64*(657/100)</f>
        <v>135.60480000000001</v>
      </c>
      <c r="H24" s="2">
        <f>3.47*(657/100)</f>
        <v>22.797900000000002</v>
      </c>
      <c r="I24" s="2">
        <f>6.96*(657/100)</f>
        <v>45.727200000000003</v>
      </c>
      <c r="J24" s="2">
        <f>4.06*(657/100)</f>
        <v>26.674199999999999</v>
      </c>
      <c r="K24" s="2">
        <f>0.28*(657/100)</f>
        <v>1.8396000000000003</v>
      </c>
      <c r="L24" s="2">
        <f>0.08*(657/100)</f>
        <v>0.52560000000000007</v>
      </c>
      <c r="M24" s="2">
        <f>15.86*(657/100)</f>
        <v>104.2002</v>
      </c>
      <c r="N24" s="2">
        <f t="shared" si="0"/>
        <v>843.71940000000018</v>
      </c>
    </row>
    <row r="25" spans="1:14" x14ac:dyDescent="0.25">
      <c r="A25">
        <v>1944</v>
      </c>
      <c r="B25" s="2">
        <f>7.74*(657/100)</f>
        <v>50.851800000000004</v>
      </c>
      <c r="C25" s="2">
        <f>4.15*(657/100)</f>
        <v>27.265500000000003</v>
      </c>
      <c r="D25" s="2">
        <f>0.74*(657/100)</f>
        <v>4.8618000000000006</v>
      </c>
      <c r="E25" s="2">
        <f>6.55*(657/100)</f>
        <v>43.033500000000004</v>
      </c>
      <c r="F25" s="2">
        <f>14.39*(657/100)</f>
        <v>94.542300000000012</v>
      </c>
      <c r="G25" s="2">
        <f>15.01*(657/100)</f>
        <v>98.615700000000004</v>
      </c>
      <c r="H25" s="2">
        <f>5.53*(657/100)</f>
        <v>36.332100000000004</v>
      </c>
      <c r="I25" s="2">
        <f>5.11*(657/100)</f>
        <v>33.572700000000005</v>
      </c>
      <c r="J25" s="2">
        <f>0.74*(657/100)</f>
        <v>4.8618000000000006</v>
      </c>
      <c r="K25" s="2">
        <f>0.18*(657/100)</f>
        <v>1.1826000000000001</v>
      </c>
      <c r="L25" s="2">
        <f>0.02*(657/100)</f>
        <v>0.13140000000000002</v>
      </c>
      <c r="M25" s="2">
        <f>0.05*(657/100)</f>
        <v>0.32850000000000001</v>
      </c>
      <c r="N25" s="2">
        <f t="shared" si="0"/>
        <v>395.57970000000006</v>
      </c>
    </row>
    <row r="26" spans="1:14" x14ac:dyDescent="0.25">
      <c r="A26">
        <v>1945</v>
      </c>
      <c r="B26" s="2">
        <f>4.22*(657/100)</f>
        <v>27.7254</v>
      </c>
      <c r="C26" s="2">
        <f>7.54*(657/100)</f>
        <v>49.537800000000004</v>
      </c>
      <c r="D26" s="2">
        <f>13.07*(657/100)</f>
        <v>85.869900000000001</v>
      </c>
      <c r="E26" s="2">
        <f>20.8*(657/100)</f>
        <v>136.65600000000001</v>
      </c>
      <c r="F26" s="2">
        <f>9.34*(657/100)</f>
        <v>61.363800000000005</v>
      </c>
      <c r="G26" s="2">
        <f>12.15*(657/100)</f>
        <v>79.825500000000005</v>
      </c>
      <c r="H26" s="2">
        <f>11.35*(657/100)</f>
        <v>74.569500000000005</v>
      </c>
      <c r="I26" s="2">
        <f>15.44*(657/100)</f>
        <v>101.4408</v>
      </c>
      <c r="J26" s="2">
        <f>1.16*(657/100)</f>
        <v>7.6212</v>
      </c>
      <c r="K26" s="2">
        <f>0.47*(657/100)</f>
        <v>3.0878999999999999</v>
      </c>
      <c r="L26" s="2">
        <f>0.17*(657/100)</f>
        <v>1.1169000000000002</v>
      </c>
      <c r="M26" s="2">
        <f>1.6*(657/100)</f>
        <v>10.512</v>
      </c>
      <c r="N26" s="2">
        <f t="shared" si="0"/>
        <v>639.32670000000007</v>
      </c>
    </row>
    <row r="27" spans="1:14" x14ac:dyDescent="0.25">
      <c r="A27">
        <v>1946</v>
      </c>
      <c r="B27" s="2">
        <f>12.4*(657/100)</f>
        <v>81.468000000000004</v>
      </c>
      <c r="C27" s="2">
        <f>8.29*(657/100)</f>
        <v>54.465299999999999</v>
      </c>
      <c r="D27" s="2">
        <f>7.63*(657/100)</f>
        <v>50.129100000000001</v>
      </c>
      <c r="E27" s="2">
        <f>9.34*(657/100)</f>
        <v>61.363800000000005</v>
      </c>
      <c r="F27" s="2">
        <f>13.87*(657/100)</f>
        <v>91.125900000000001</v>
      </c>
      <c r="G27" s="2">
        <f>6.57*(657/100)</f>
        <v>43.164900000000003</v>
      </c>
      <c r="H27" s="2">
        <f>7.35*(657/100)</f>
        <v>48.289499999999997</v>
      </c>
      <c r="I27" s="2">
        <f>5.94*(657/100)</f>
        <v>39.025800000000004</v>
      </c>
      <c r="J27" s="2">
        <f>1.61*(657/100)</f>
        <v>10.577700000000002</v>
      </c>
      <c r="K27" s="2">
        <f>2.9*(657/100)</f>
        <v>19.053000000000001</v>
      </c>
      <c r="L27" s="2">
        <f>2.36*(657/100)</f>
        <v>15.5052</v>
      </c>
      <c r="M27" s="2">
        <f>8.32*(657/100)</f>
        <v>54.662400000000005</v>
      </c>
      <c r="N27" s="2">
        <f t="shared" si="0"/>
        <v>568.8306</v>
      </c>
    </row>
    <row r="28" spans="1:14" x14ac:dyDescent="0.25">
      <c r="A28">
        <v>1947</v>
      </c>
      <c r="B28" s="2">
        <f>8.56*(657/100)</f>
        <v>56.239200000000004</v>
      </c>
      <c r="C28" s="2">
        <f>13.51*(657/100)</f>
        <v>88.7607</v>
      </c>
      <c r="D28" s="2">
        <f>20.41*(657/100)</f>
        <v>134.09370000000001</v>
      </c>
      <c r="E28" s="2">
        <f>14.94*(657/100)</f>
        <v>98.155799999999999</v>
      </c>
      <c r="F28" s="2">
        <f>21.67*(657/100)</f>
        <v>142.37190000000001</v>
      </c>
      <c r="G28" s="2">
        <f>23.3*(657/100)</f>
        <v>153.08100000000002</v>
      </c>
      <c r="H28" s="2">
        <f>11.3*(657/100)</f>
        <v>74.241000000000014</v>
      </c>
      <c r="I28" s="2">
        <f>2.7*(657/100)</f>
        <v>17.739000000000001</v>
      </c>
      <c r="J28" s="2">
        <f>0.04*(657/100)</f>
        <v>0.26280000000000003</v>
      </c>
      <c r="K28" s="2">
        <f>0.76*(657/100)</f>
        <v>4.9931999999999999</v>
      </c>
      <c r="L28" s="2">
        <f>0.09*(657/100)</f>
        <v>0.59130000000000005</v>
      </c>
      <c r="M28" s="2">
        <f>0.05*(657/100)</f>
        <v>0.32850000000000001</v>
      </c>
      <c r="N28" s="2">
        <f t="shared" si="0"/>
        <v>770.85810000000004</v>
      </c>
    </row>
    <row r="29" spans="1:14" x14ac:dyDescent="0.25">
      <c r="A29">
        <v>1948</v>
      </c>
      <c r="B29" s="2">
        <f>6.42*(657/100)</f>
        <v>42.179400000000001</v>
      </c>
      <c r="C29" s="2">
        <f>3.45*(657/100)</f>
        <v>22.666500000000003</v>
      </c>
      <c r="D29" s="2">
        <f>4.66*(657/100)</f>
        <v>30.616200000000003</v>
      </c>
      <c r="E29" s="2">
        <f>6.01*(657/100)</f>
        <v>39.485700000000001</v>
      </c>
      <c r="F29" s="2">
        <f>7.37*(657/100)</f>
        <v>48.420900000000003</v>
      </c>
      <c r="G29" s="2">
        <f>13.75*(657/100)</f>
        <v>90.337500000000006</v>
      </c>
      <c r="H29" s="2">
        <f>3.28*(657/100)</f>
        <v>21.549599999999998</v>
      </c>
      <c r="I29" s="2">
        <f>6.4*(657/100)</f>
        <v>42.048000000000002</v>
      </c>
      <c r="J29" s="2">
        <f>1.55*(657/100)</f>
        <v>10.1835</v>
      </c>
      <c r="K29" s="2">
        <f>1.22*(657/100)</f>
        <v>8.0153999999999996</v>
      </c>
      <c r="L29" s="2">
        <f>0.53*(657/100)</f>
        <v>3.4821000000000004</v>
      </c>
      <c r="M29" s="2">
        <f>1.25*(657/100)</f>
        <v>8.2125000000000004</v>
      </c>
      <c r="N29" s="2">
        <f t="shared" si="0"/>
        <v>367.19729999999993</v>
      </c>
    </row>
    <row r="30" spans="1:14" x14ac:dyDescent="0.25">
      <c r="A30">
        <v>1949</v>
      </c>
      <c r="B30" s="2">
        <f>2.88*(657/100)</f>
        <v>18.921600000000002</v>
      </c>
      <c r="C30" s="2">
        <f>8.51*(657/100)</f>
        <v>55.910699999999999</v>
      </c>
      <c r="D30" s="2">
        <f>11.48*(657/100)</f>
        <v>75.423600000000008</v>
      </c>
      <c r="E30" s="2">
        <f>7.37*(657/100)</f>
        <v>48.420900000000003</v>
      </c>
      <c r="F30" s="2">
        <f>15.81*(657/100)</f>
        <v>103.8717</v>
      </c>
      <c r="G30" s="2">
        <f>19.5*(657/100)</f>
        <v>128.11500000000001</v>
      </c>
      <c r="H30" s="2">
        <f>17.05*(657/100)</f>
        <v>112.0185</v>
      </c>
      <c r="I30" s="2">
        <f>8.6*(657/100)</f>
        <v>56.502000000000002</v>
      </c>
      <c r="J30" s="2">
        <f>2.67*(657/100)</f>
        <v>17.541900000000002</v>
      </c>
      <c r="K30" s="2">
        <f>4.17*(657/100)</f>
        <v>27.396900000000002</v>
      </c>
      <c r="L30" s="2">
        <f>7.89*(657/100)</f>
        <v>51.837299999999999</v>
      </c>
      <c r="M30" s="2">
        <f>4.84*(657/100)</f>
        <v>31.7988</v>
      </c>
      <c r="N30" s="2">
        <f t="shared" si="0"/>
        <v>727.75890000000004</v>
      </c>
    </row>
    <row r="31" spans="1:14" x14ac:dyDescent="0.25">
      <c r="A31">
        <v>1950</v>
      </c>
      <c r="B31" s="2">
        <f>5.55*(657/100)</f>
        <v>36.463500000000003</v>
      </c>
      <c r="C31" s="2">
        <f>8.2*(657/100)</f>
        <v>53.873999999999995</v>
      </c>
      <c r="D31" s="2">
        <f>25.69*(657/100)</f>
        <v>168.78330000000003</v>
      </c>
      <c r="E31" s="2">
        <f>15.96*(657/100)</f>
        <v>104.85720000000001</v>
      </c>
      <c r="F31" s="2">
        <f>6.74*(657/100)</f>
        <v>44.281800000000004</v>
      </c>
      <c r="G31" s="2">
        <f>13.78*(657/100)</f>
        <v>90.534599999999998</v>
      </c>
      <c r="H31" s="2">
        <f>4.86*(657/100)</f>
        <v>31.930200000000003</v>
      </c>
      <c r="I31" s="2">
        <f>3.84*(657/100)</f>
        <v>25.2288</v>
      </c>
      <c r="J31" s="2">
        <f>4.88*(657/100)</f>
        <v>32.061599999999999</v>
      </c>
      <c r="K31" s="2">
        <f>1.11*(657/100)</f>
        <v>7.2927000000000008</v>
      </c>
      <c r="L31" s="2">
        <f>1.79*(657/100)</f>
        <v>11.760300000000001</v>
      </c>
      <c r="M31" s="2">
        <f>6.32*(657/100)</f>
        <v>41.522400000000005</v>
      </c>
      <c r="N31" s="2">
        <f t="shared" si="0"/>
        <v>648.59040000000005</v>
      </c>
    </row>
    <row r="32" spans="1:14" x14ac:dyDescent="0.25">
      <c r="A32">
        <v>1951</v>
      </c>
      <c r="B32" s="2">
        <f>13.05*(657/100)</f>
        <v>85.738500000000002</v>
      </c>
      <c r="C32" s="2">
        <f>2.3*(657/100)</f>
        <v>15.110999999999999</v>
      </c>
      <c r="D32" s="2">
        <f>1.14*(657/100)</f>
        <v>7.4897999999999998</v>
      </c>
      <c r="E32" s="2">
        <f>11.67*(657/100)</f>
        <v>76.671900000000008</v>
      </c>
      <c r="F32" s="2">
        <f>17.06*(657/100)</f>
        <v>112.0842</v>
      </c>
      <c r="G32" s="2">
        <f>6.3*(657/100)</f>
        <v>41.390999999999998</v>
      </c>
      <c r="H32" s="2">
        <f>7.92*(657/100)</f>
        <v>52.034400000000005</v>
      </c>
      <c r="I32" s="2">
        <f>2.79*(657/100)</f>
        <v>18.330300000000001</v>
      </c>
      <c r="J32" s="2">
        <f>3.2*(657/100)</f>
        <v>21.024000000000001</v>
      </c>
      <c r="K32" s="2">
        <f>6.66*(657/100)</f>
        <v>43.7562</v>
      </c>
      <c r="L32" s="2">
        <f>2.73*(657/100)</f>
        <v>17.9361</v>
      </c>
      <c r="M32" s="2">
        <f>11.74*(657/100)</f>
        <v>77.131799999999998</v>
      </c>
      <c r="N32" s="2">
        <f t="shared" si="0"/>
        <v>568.69920000000002</v>
      </c>
    </row>
    <row r="33" spans="1:14" x14ac:dyDescent="0.25">
      <c r="A33">
        <v>1952</v>
      </c>
      <c r="B33" s="2">
        <f>6.63*(657/100)</f>
        <v>43.559100000000001</v>
      </c>
      <c r="C33" s="2">
        <f>7.57*(657/100)</f>
        <v>49.734900000000003</v>
      </c>
      <c r="D33" s="2">
        <f>11.35*(657/100)</f>
        <v>74.569500000000005</v>
      </c>
      <c r="E33" s="2">
        <f>6.57*(657/100)</f>
        <v>43.164900000000003</v>
      </c>
      <c r="F33" s="2">
        <f>18.84*(657/100)</f>
        <v>123.7788</v>
      </c>
      <c r="G33" s="2">
        <f>5.82*(657/100)</f>
        <v>38.237400000000001</v>
      </c>
      <c r="H33" s="2">
        <f>17.02*(657/100)</f>
        <v>111.8214</v>
      </c>
      <c r="I33" s="2">
        <f>4.59*(657/100)</f>
        <v>30.156300000000002</v>
      </c>
      <c r="J33" s="2">
        <f>0*(657/100)</f>
        <v>0</v>
      </c>
      <c r="K33" s="2">
        <f>0.27*(657/100)</f>
        <v>1.7739000000000003</v>
      </c>
      <c r="L33" s="2">
        <f>2.7*(657/100)</f>
        <v>17.739000000000001</v>
      </c>
      <c r="M33" s="2">
        <f>5.2*(657/100)</f>
        <v>34.164000000000001</v>
      </c>
      <c r="N33" s="2">
        <f t="shared" si="0"/>
        <v>568.69920000000002</v>
      </c>
    </row>
    <row r="34" spans="1:14" x14ac:dyDescent="0.25">
      <c r="A34">
        <v>1953</v>
      </c>
      <c r="B34" s="2">
        <f>11.2*(657/100)</f>
        <v>73.584000000000003</v>
      </c>
      <c r="C34" s="2">
        <f>17.31*(657/100)</f>
        <v>113.72669999999999</v>
      </c>
      <c r="D34" s="2">
        <f>11.75*(657/100)</f>
        <v>77.197500000000005</v>
      </c>
      <c r="E34" s="2">
        <f>7.62*(657/100)</f>
        <v>50.063400000000001</v>
      </c>
      <c r="F34" s="2">
        <f>15.3*(657/100)</f>
        <v>100.52100000000002</v>
      </c>
      <c r="G34" s="2">
        <f>25.81*(657/100)</f>
        <v>169.57169999999999</v>
      </c>
      <c r="H34" s="2">
        <f>6.52*(657/100)</f>
        <v>42.836399999999998</v>
      </c>
      <c r="I34" s="2">
        <f>4.04*(657/100)</f>
        <v>26.5428</v>
      </c>
      <c r="J34" s="2">
        <f>1.16*(657/100)</f>
        <v>7.6212</v>
      </c>
      <c r="K34" s="2">
        <f>0.99*(657/100)</f>
        <v>6.5043000000000006</v>
      </c>
      <c r="L34" s="2">
        <f>0.03*(657/100)</f>
        <v>0.1971</v>
      </c>
      <c r="M34" s="2">
        <f>1.23*(657/100)</f>
        <v>8.0811000000000011</v>
      </c>
      <c r="N34" s="2">
        <f t="shared" si="0"/>
        <v>676.44720000000007</v>
      </c>
    </row>
    <row r="35" spans="1:14" x14ac:dyDescent="0.25">
      <c r="A35">
        <v>1954</v>
      </c>
      <c r="B35" s="2">
        <f>1.57*(657/100)</f>
        <v>10.314900000000002</v>
      </c>
      <c r="C35" s="2">
        <f>12.03*(657/100)</f>
        <v>79.037099999999995</v>
      </c>
      <c r="D35" s="2">
        <f>6.88*(657/100)</f>
        <v>45.201599999999999</v>
      </c>
      <c r="E35" s="2">
        <f>21.51*(657/100)</f>
        <v>141.32070000000002</v>
      </c>
      <c r="F35" s="2">
        <f>22.48*(657/100)</f>
        <v>147.6936</v>
      </c>
      <c r="G35" s="2">
        <f>8.9*(657/100)</f>
        <v>58.473000000000006</v>
      </c>
      <c r="H35" s="2">
        <f>13.38*(657/100)</f>
        <v>87.906600000000012</v>
      </c>
      <c r="I35" s="2">
        <f>3.6*(657/100)</f>
        <v>23.652000000000001</v>
      </c>
      <c r="J35" s="2">
        <f>3.99*(657/100)</f>
        <v>26.214300000000001</v>
      </c>
      <c r="K35" s="2">
        <f>0.54*(657/100)</f>
        <v>3.5478000000000005</v>
      </c>
      <c r="L35" s="2">
        <f>1.01*(657/100)</f>
        <v>6.6356999999999999</v>
      </c>
      <c r="M35" s="2">
        <f>0.71*(657/100)</f>
        <v>4.6646999999999998</v>
      </c>
      <c r="N35" s="2">
        <f t="shared" si="0"/>
        <v>634.66200000000026</v>
      </c>
    </row>
    <row r="36" spans="1:14" x14ac:dyDescent="0.25">
      <c r="A36">
        <v>1955</v>
      </c>
      <c r="B36" s="2">
        <f>8.31*(657/100)</f>
        <v>54.596700000000006</v>
      </c>
      <c r="C36" s="2">
        <f>14.4*(657/100)</f>
        <v>94.608000000000004</v>
      </c>
      <c r="D36" s="2">
        <f>10.85*(657/100)</f>
        <v>71.284499999999994</v>
      </c>
      <c r="E36" s="2">
        <f>8.5*(657/100)</f>
        <v>55.844999999999999</v>
      </c>
      <c r="F36" s="2">
        <f>14.07*(657/100)</f>
        <v>92.439900000000009</v>
      </c>
      <c r="G36" s="2">
        <f>18.61*(657/100)</f>
        <v>122.2677</v>
      </c>
      <c r="H36" s="2">
        <f>14.12*(657/100)</f>
        <v>92.7684</v>
      </c>
      <c r="I36" s="2">
        <f>6.28*(657/100)</f>
        <v>41.259600000000006</v>
      </c>
      <c r="J36" s="2">
        <f>1.18*(657/100)</f>
        <v>7.7526000000000002</v>
      </c>
      <c r="K36" s="2">
        <f>1.79*(657/100)</f>
        <v>11.760300000000001</v>
      </c>
      <c r="L36" s="2">
        <f>0.05*(657/100)</f>
        <v>0.32850000000000001</v>
      </c>
      <c r="M36" s="2">
        <f>6.15*(657/100)</f>
        <v>40.405500000000004</v>
      </c>
      <c r="N36" s="2">
        <f t="shared" si="0"/>
        <v>685.31669999999997</v>
      </c>
    </row>
    <row r="37" spans="1:14" x14ac:dyDescent="0.25">
      <c r="A37">
        <v>1956</v>
      </c>
      <c r="B37" s="2">
        <f>9*(657/100)</f>
        <v>59.13</v>
      </c>
      <c r="C37" s="2">
        <f>10.13*(657/100)</f>
        <v>66.554100000000005</v>
      </c>
      <c r="D37" s="2">
        <f>22.79*(657/100)</f>
        <v>149.7303</v>
      </c>
      <c r="E37" s="2">
        <f>15*(657/100)</f>
        <v>98.550000000000011</v>
      </c>
      <c r="F37" s="2">
        <f>11.88*(657/100)</f>
        <v>78.051600000000008</v>
      </c>
      <c r="G37" s="2">
        <f>12.38*(657/100)</f>
        <v>81.336600000000004</v>
      </c>
      <c r="H37" s="2">
        <f>2.81*(657/100)</f>
        <v>18.4617</v>
      </c>
      <c r="I37" s="2">
        <f>2.18*(657/100)</f>
        <v>14.322600000000001</v>
      </c>
      <c r="J37" s="2">
        <f>2.04*(657/100)</f>
        <v>13.402800000000001</v>
      </c>
      <c r="K37" s="2">
        <f>1.47*(657/100)</f>
        <v>9.6578999999999997</v>
      </c>
      <c r="L37" s="2">
        <f>8.71*(657/100)</f>
        <v>57.224700000000006</v>
      </c>
      <c r="M37" s="2">
        <f>14.56*(657/100)</f>
        <v>95.659200000000013</v>
      </c>
      <c r="N37" s="2">
        <f t="shared" si="0"/>
        <v>742.08150000000001</v>
      </c>
    </row>
    <row r="38" spans="1:14" x14ac:dyDescent="0.25">
      <c r="A38">
        <v>1957</v>
      </c>
      <c r="B38" s="2">
        <f>13.86*(657/100)</f>
        <v>91.060199999999995</v>
      </c>
      <c r="C38" s="2">
        <f>13.43*(657/100)</f>
        <v>88.235100000000003</v>
      </c>
      <c r="D38" s="2">
        <f>8.39*(657/100)</f>
        <v>55.122300000000003</v>
      </c>
      <c r="E38" s="2">
        <f>26.79*(657/100)</f>
        <v>176.0103</v>
      </c>
      <c r="F38" s="2">
        <f>6.4*(657/100)</f>
        <v>42.048000000000002</v>
      </c>
      <c r="G38" s="2">
        <f>10.6*(657/100)</f>
        <v>69.641999999999996</v>
      </c>
      <c r="H38" s="2">
        <f>8.82*(657/100)</f>
        <v>57.947400000000002</v>
      </c>
      <c r="I38" s="2">
        <f>15.96*(657/100)</f>
        <v>104.85720000000001</v>
      </c>
      <c r="J38" s="2">
        <f>0.29*(657/100)</f>
        <v>1.9053</v>
      </c>
      <c r="K38" s="2">
        <f>0.05*(657/100)</f>
        <v>0.32850000000000001</v>
      </c>
      <c r="L38" s="2">
        <f>0.07*(657/100)</f>
        <v>0.45990000000000009</v>
      </c>
      <c r="M38" s="2">
        <f>3.04*(657/100)</f>
        <v>19.972799999999999</v>
      </c>
      <c r="N38" s="2">
        <f t="shared" si="0"/>
        <v>707.58899999999994</v>
      </c>
    </row>
    <row r="39" spans="1:14" x14ac:dyDescent="0.25">
      <c r="A39">
        <v>1958</v>
      </c>
      <c r="B39" s="2">
        <f>3.92*(657/100)</f>
        <v>25.7544</v>
      </c>
      <c r="C39" s="2">
        <f>13.9*(657/100)</f>
        <v>91.323000000000008</v>
      </c>
      <c r="D39" s="2">
        <f>23.26*(657/100)</f>
        <v>152.81820000000002</v>
      </c>
      <c r="E39" s="2">
        <f>9.12*(657/100)</f>
        <v>59.918399999999998</v>
      </c>
      <c r="F39" s="2">
        <f>19.08*(657/100)</f>
        <v>125.3556</v>
      </c>
      <c r="G39" s="2">
        <f>9.73*(657/100)</f>
        <v>63.926100000000005</v>
      </c>
      <c r="H39" s="2">
        <f>18.76*(657/100)</f>
        <v>123.25320000000002</v>
      </c>
      <c r="I39" s="2">
        <f>11.99*(657/100)</f>
        <v>78.774300000000011</v>
      </c>
      <c r="J39" s="2">
        <f>0.12*(657/100)</f>
        <v>0.78839999999999999</v>
      </c>
      <c r="K39" s="2">
        <f>8.98*(657/100)</f>
        <v>58.998600000000003</v>
      </c>
      <c r="L39" s="2">
        <f>0.74*(657/100)</f>
        <v>4.8618000000000006</v>
      </c>
      <c r="M39" s="2">
        <f>1.05*(657/100)</f>
        <v>6.8985000000000003</v>
      </c>
      <c r="N39" s="2">
        <f t="shared" si="0"/>
        <v>792.67050000000017</v>
      </c>
    </row>
    <row r="40" spans="1:14" x14ac:dyDescent="0.25">
      <c r="A40">
        <v>1959</v>
      </c>
      <c r="B40" s="2">
        <f>6.92*(657/100)</f>
        <v>45.464400000000005</v>
      </c>
      <c r="C40" s="2">
        <f>15.25*(657/100)</f>
        <v>100.19250000000001</v>
      </c>
      <c r="D40" s="2">
        <f>17.29*(657/100)</f>
        <v>113.59529999999999</v>
      </c>
      <c r="E40" s="2">
        <f>14.53*(657/100)</f>
        <v>95.462100000000007</v>
      </c>
      <c r="F40" s="2">
        <f>12.17*(657/100)</f>
        <v>79.956900000000005</v>
      </c>
      <c r="G40" s="2">
        <f>11.21*(657/100)</f>
        <v>73.64970000000001</v>
      </c>
      <c r="H40" s="2">
        <f>8.32*(657/100)</f>
        <v>54.662400000000005</v>
      </c>
      <c r="I40" s="2">
        <f>6.33*(657/100)</f>
        <v>41.588100000000004</v>
      </c>
      <c r="J40" s="2">
        <f>2.9*(657/100)</f>
        <v>19.053000000000001</v>
      </c>
      <c r="K40" s="2">
        <f>0.93*(657/100)</f>
        <v>6.110100000000001</v>
      </c>
      <c r="L40" s="2">
        <f>6.48*(657/100)</f>
        <v>42.573600000000006</v>
      </c>
      <c r="M40" s="2">
        <f>3.79*(657/100)</f>
        <v>24.900300000000001</v>
      </c>
      <c r="N40" s="2">
        <f t="shared" si="0"/>
        <v>697.20840000000021</v>
      </c>
    </row>
    <row r="41" spans="1:14" x14ac:dyDescent="0.25">
      <c r="A41">
        <v>1960</v>
      </c>
      <c r="B41" s="2">
        <f>11.25*(657/100)</f>
        <v>73.912500000000009</v>
      </c>
      <c r="C41" s="2">
        <f>18.31*(657/100)</f>
        <v>120.2967</v>
      </c>
      <c r="D41" s="2">
        <f>11.11*(657/100)</f>
        <v>72.992699999999999</v>
      </c>
      <c r="E41" s="2">
        <f>11.44*(657/100)</f>
        <v>75.160799999999995</v>
      </c>
      <c r="F41" s="2">
        <f>7.23*(657/100)</f>
        <v>47.501100000000008</v>
      </c>
      <c r="G41" s="2">
        <f>23.02*(657/100)</f>
        <v>151.2414</v>
      </c>
      <c r="H41" s="2">
        <f>9.66*(657/100)</f>
        <v>63.466200000000001</v>
      </c>
      <c r="I41" s="2">
        <f>10.64*(657/100)</f>
        <v>69.904800000000009</v>
      </c>
      <c r="J41" s="2">
        <f>6.87*(657/100)</f>
        <v>45.135899999999999</v>
      </c>
      <c r="K41" s="2">
        <f>3.35*(657/100)</f>
        <v>22.009500000000003</v>
      </c>
      <c r="L41" s="2">
        <f>6.18*(657/100)</f>
        <v>40.602600000000002</v>
      </c>
      <c r="M41" s="2">
        <f>0.56*(657/100)</f>
        <v>3.6792000000000007</v>
      </c>
      <c r="N41" s="2">
        <f t="shared" si="0"/>
        <v>785.90340000000003</v>
      </c>
    </row>
    <row r="42" spans="1:14" x14ac:dyDescent="0.25">
      <c r="A42">
        <v>1961</v>
      </c>
      <c r="B42" s="2">
        <f>0.12*(657/100)</f>
        <v>0.78839999999999999</v>
      </c>
      <c r="C42" s="2">
        <f>18.02*(657/100)</f>
        <v>118.3914</v>
      </c>
      <c r="D42" s="2">
        <f>13.5*(657/100)</f>
        <v>88.695000000000007</v>
      </c>
      <c r="E42" s="2">
        <f>14.03*(657/100)</f>
        <v>92.177099999999996</v>
      </c>
      <c r="F42" s="2">
        <f>30.19*(657/100)</f>
        <v>198.34830000000002</v>
      </c>
      <c r="G42" s="2">
        <f>15.33*(657/100)</f>
        <v>100.71810000000001</v>
      </c>
      <c r="H42" s="2">
        <f>7.06*(657/100)</f>
        <v>46.3842</v>
      </c>
      <c r="I42" s="2">
        <f>1.77*(657/100)</f>
        <v>11.6289</v>
      </c>
      <c r="J42" s="2">
        <f>0.9*(657/100)</f>
        <v>5.9130000000000003</v>
      </c>
      <c r="K42" s="2">
        <f>0.2*(657/100)</f>
        <v>1.3140000000000001</v>
      </c>
      <c r="L42" s="2">
        <f>0.87*(657/100)</f>
        <v>5.7159000000000004</v>
      </c>
      <c r="M42" s="2">
        <f>0.64*(657/100)</f>
        <v>4.2048000000000005</v>
      </c>
      <c r="N42" s="2">
        <f t="shared" si="0"/>
        <v>674.27910000000008</v>
      </c>
    </row>
    <row r="43" spans="1:14" x14ac:dyDescent="0.25">
      <c r="A43">
        <v>1962</v>
      </c>
      <c r="B43" s="2">
        <f>3.45*(657/100)</f>
        <v>22.666500000000003</v>
      </c>
      <c r="C43" s="2">
        <f>18.84*(657/100)</f>
        <v>123.7788</v>
      </c>
      <c r="D43" s="2">
        <f>17*(657/100)</f>
        <v>111.69</v>
      </c>
      <c r="E43" s="2">
        <f>24.87*(657/100)</f>
        <v>163.39590000000001</v>
      </c>
      <c r="F43" s="2">
        <f>8.53*(657/100)</f>
        <v>56.042099999999998</v>
      </c>
      <c r="G43" s="2">
        <f>29.13*(657/100)</f>
        <v>191.38409999999999</v>
      </c>
      <c r="H43" s="2">
        <f>8.31*(657/100)</f>
        <v>54.596700000000006</v>
      </c>
      <c r="I43" s="2">
        <f>1.44*(657/100)</f>
        <v>9.4608000000000008</v>
      </c>
      <c r="J43" s="2">
        <f>3.07*(657/100)</f>
        <v>20.169899999999998</v>
      </c>
      <c r="K43" s="2">
        <f>8.39*(657/100)</f>
        <v>55.122300000000003</v>
      </c>
      <c r="L43" s="2">
        <f>2.16*(657/100)</f>
        <v>14.191200000000002</v>
      </c>
      <c r="M43" s="2">
        <f>0.33*(657/100)</f>
        <v>2.1681000000000004</v>
      </c>
      <c r="N43" s="2">
        <f t="shared" si="0"/>
        <v>824.66639999999995</v>
      </c>
    </row>
    <row r="44" spans="1:14" x14ac:dyDescent="0.25">
      <c r="A44">
        <v>1963</v>
      </c>
      <c r="B44" s="2">
        <f>12.92*(657/100)</f>
        <v>84.884399999999999</v>
      </c>
      <c r="C44" s="2">
        <f>17.84*(657/100)</f>
        <v>117.20880000000001</v>
      </c>
      <c r="D44" s="2">
        <f>12.74*(657/100)</f>
        <v>83.701800000000006</v>
      </c>
      <c r="E44" s="2">
        <f>6.01*(657/100)</f>
        <v>39.485700000000001</v>
      </c>
      <c r="F44" s="2">
        <f>5.97*(657/100)</f>
        <v>39.222900000000003</v>
      </c>
      <c r="G44" s="2">
        <f>12.82*(657/100)</f>
        <v>84.227400000000003</v>
      </c>
      <c r="H44" s="2">
        <f>8.59*(657/100)</f>
        <v>56.436300000000003</v>
      </c>
      <c r="I44" s="2">
        <f>2.15*(657/100)</f>
        <v>14.125500000000001</v>
      </c>
      <c r="J44" s="2">
        <f>5.27*(657/100)</f>
        <v>34.623899999999999</v>
      </c>
      <c r="K44" s="2">
        <f>0*(657/100)</f>
        <v>0</v>
      </c>
      <c r="L44" s="2">
        <f>0.74*(657/100)</f>
        <v>4.8618000000000006</v>
      </c>
      <c r="M44" s="2">
        <f>1.8*(657/100)</f>
        <v>11.826000000000001</v>
      </c>
      <c r="N44" s="2">
        <f t="shared" si="0"/>
        <v>570.60450000000014</v>
      </c>
    </row>
    <row r="45" spans="1:14" x14ac:dyDescent="0.25">
      <c r="A45">
        <v>1964</v>
      </c>
      <c r="B45" s="2">
        <f>15.96*(657/100)</f>
        <v>104.85720000000001</v>
      </c>
      <c r="C45" s="2">
        <f>1.64*(657/100)</f>
        <v>10.774799999999999</v>
      </c>
      <c r="D45" s="2">
        <f>13.59*(657/100)</f>
        <v>89.286299999999997</v>
      </c>
      <c r="E45" s="2">
        <f>13.72*(657/100)</f>
        <v>90.140400000000014</v>
      </c>
      <c r="F45" s="2">
        <f>8.05*(657/100)</f>
        <v>52.888500000000008</v>
      </c>
      <c r="G45" s="2">
        <f>6.15*(657/100)</f>
        <v>40.405500000000004</v>
      </c>
      <c r="H45" s="2">
        <f>16.18*(657/100)</f>
        <v>106.3026</v>
      </c>
      <c r="I45" s="2">
        <f>1.76*(657/100)</f>
        <v>11.5632</v>
      </c>
      <c r="J45" s="2">
        <f>4.68*(657/100)</f>
        <v>30.747599999999998</v>
      </c>
      <c r="K45" s="2">
        <f>2.89*(657/100)</f>
        <v>18.987300000000001</v>
      </c>
      <c r="L45" s="2">
        <f>0.76*(657/100)</f>
        <v>4.9931999999999999</v>
      </c>
      <c r="M45" s="2">
        <f>1.81*(657/100)</f>
        <v>11.8917</v>
      </c>
      <c r="N45" s="2">
        <f t="shared" si="0"/>
        <v>572.8383</v>
      </c>
    </row>
    <row r="46" spans="1:14" x14ac:dyDescent="0.25">
      <c r="A46">
        <v>1965</v>
      </c>
      <c r="B46" s="2">
        <f>7.53*(657/100)</f>
        <v>49.472100000000005</v>
      </c>
      <c r="C46" s="2">
        <f>13.06*(657/100)</f>
        <v>85.804200000000009</v>
      </c>
      <c r="D46" s="2">
        <f>3.01*(657/100)</f>
        <v>19.775700000000001</v>
      </c>
      <c r="E46" s="2">
        <f>20.14*(657/100)</f>
        <v>132.31980000000001</v>
      </c>
      <c r="F46" s="2">
        <f>15.47*(657/100)</f>
        <v>101.6379</v>
      </c>
      <c r="G46" s="2">
        <f>4.34*(657/100)</f>
        <v>28.5138</v>
      </c>
      <c r="H46" s="2">
        <f>3.32*(657/100)</f>
        <v>21.8124</v>
      </c>
      <c r="I46" s="2">
        <f>1.42*(657/100)</f>
        <v>9.3293999999999997</v>
      </c>
      <c r="J46" s="2">
        <f>3.41*(657/100)</f>
        <v>22.403700000000001</v>
      </c>
      <c r="K46" s="2">
        <f>0*(657/100)</f>
        <v>0</v>
      </c>
      <c r="L46" s="2">
        <f>1.12*(657/100)</f>
        <v>7.3584000000000014</v>
      </c>
      <c r="M46" s="2">
        <f>1.99*(657/100)</f>
        <v>13.074300000000001</v>
      </c>
      <c r="N46" s="2">
        <f t="shared" si="0"/>
        <v>491.50170000000008</v>
      </c>
    </row>
    <row r="47" spans="1:14" x14ac:dyDescent="0.25">
      <c r="A47">
        <v>1966</v>
      </c>
      <c r="B47" s="2">
        <f>3.88*(657/100)</f>
        <v>25.491600000000002</v>
      </c>
      <c r="C47" s="2">
        <f>11.15*(657/100)</f>
        <v>73.255500000000012</v>
      </c>
      <c r="D47" s="2">
        <f>11.11*(657/100)</f>
        <v>72.992699999999999</v>
      </c>
      <c r="E47" s="2">
        <f>23.24*(657/100)</f>
        <v>152.68680000000001</v>
      </c>
      <c r="F47" s="2">
        <f>8.75*(657/100)</f>
        <v>57.487500000000004</v>
      </c>
      <c r="G47" s="2">
        <f>11.81*(657/100)</f>
        <v>77.591700000000003</v>
      </c>
      <c r="H47" s="2">
        <f>23.45*(657/100)</f>
        <v>154.06649999999999</v>
      </c>
      <c r="I47" s="2">
        <f>15.09*(657/100)</f>
        <v>99.141300000000001</v>
      </c>
      <c r="J47" s="2">
        <f>5.55*(657/100)</f>
        <v>36.463500000000003</v>
      </c>
      <c r="K47" s="2">
        <f>2*(657/100)</f>
        <v>13.14</v>
      </c>
      <c r="L47" s="2">
        <f>0.75*(657/100)</f>
        <v>4.9275000000000002</v>
      </c>
      <c r="M47" s="2">
        <f>0.86*(657/100)</f>
        <v>5.6501999999999999</v>
      </c>
      <c r="N47" s="2">
        <f t="shared" si="0"/>
        <v>772.89480000000003</v>
      </c>
    </row>
    <row r="48" spans="1:14" x14ac:dyDescent="0.25">
      <c r="A48">
        <v>1967</v>
      </c>
      <c r="B48" s="2">
        <f>5.01*(657/100)</f>
        <v>32.915700000000001</v>
      </c>
      <c r="C48" s="2">
        <f>5.2*(657/100)</f>
        <v>34.164000000000001</v>
      </c>
      <c r="D48" s="2">
        <f>3.23*(657/100)</f>
        <v>21.2211</v>
      </c>
      <c r="E48" s="2">
        <f>6.46*(657/100)</f>
        <v>42.4422</v>
      </c>
      <c r="F48" s="2">
        <f>1.83*(657/100)</f>
        <v>12.023100000000001</v>
      </c>
      <c r="G48" s="2">
        <f>13.09*(657/100)</f>
        <v>86.001300000000001</v>
      </c>
      <c r="H48" s="2">
        <f>5.02*(657/100)</f>
        <v>32.981400000000001</v>
      </c>
      <c r="I48" s="2">
        <f>5.07*(657/100)</f>
        <v>33.309900000000006</v>
      </c>
      <c r="J48" s="2">
        <f>1.15*(657/100)</f>
        <v>7.5554999999999994</v>
      </c>
      <c r="K48" s="2">
        <f>1.68*(657/100)</f>
        <v>11.037599999999999</v>
      </c>
      <c r="L48" s="2">
        <f>0.86*(657/100)</f>
        <v>5.6501999999999999</v>
      </c>
      <c r="M48" s="2">
        <f>6.59*(657/100)</f>
        <v>43.296300000000002</v>
      </c>
      <c r="N48" s="2">
        <f t="shared" si="0"/>
        <v>362.59829999999999</v>
      </c>
    </row>
    <row r="49" spans="1:14" x14ac:dyDescent="0.25">
      <c r="A49">
        <v>1968</v>
      </c>
      <c r="B49" s="2">
        <f>6.77*(657/100)</f>
        <v>44.478899999999996</v>
      </c>
      <c r="C49" s="2">
        <f>5.54*(657/100)</f>
        <v>36.397800000000004</v>
      </c>
      <c r="D49" s="2">
        <f>12.75*(657/100)</f>
        <v>83.767499999999998</v>
      </c>
      <c r="E49" s="2">
        <f>8.16*(657/100)</f>
        <v>53.611200000000004</v>
      </c>
      <c r="F49" s="2">
        <f>14.51*(657/100)</f>
        <v>95.330700000000007</v>
      </c>
      <c r="G49" s="2">
        <f>26.71*(657/100)</f>
        <v>175.4847</v>
      </c>
      <c r="H49" s="2">
        <f>6.86*(657/100)</f>
        <v>45.070200000000007</v>
      </c>
      <c r="I49" s="2">
        <f>4.6*(657/100)</f>
        <v>30.221999999999998</v>
      </c>
      <c r="J49" s="2">
        <f>0.95*(657/100)</f>
        <v>6.2415000000000003</v>
      </c>
      <c r="K49" s="2">
        <f>1.14*(657/100)</f>
        <v>7.4897999999999998</v>
      </c>
      <c r="L49" s="2">
        <f>2.98*(657/100)</f>
        <v>19.578600000000002</v>
      </c>
      <c r="M49" s="2">
        <f>3.59*(657/100)</f>
        <v>23.586300000000001</v>
      </c>
      <c r="N49" s="2">
        <f t="shared" si="0"/>
        <v>621.25919999999996</v>
      </c>
    </row>
    <row r="50" spans="1:14" x14ac:dyDescent="0.25">
      <c r="A50">
        <v>1969</v>
      </c>
      <c r="B50" s="2">
        <f>9.99*(657/100)</f>
        <v>65.63430000000001</v>
      </c>
      <c r="C50" s="2">
        <f>4.14*(657/100)</f>
        <v>27.1998</v>
      </c>
      <c r="D50" s="2">
        <f>5.21*(657/100)</f>
        <v>34.229700000000001</v>
      </c>
      <c r="E50" s="2">
        <f>8.45*(657/100)</f>
        <v>55.516500000000001</v>
      </c>
      <c r="F50" s="2">
        <f>7.15*(657/100)</f>
        <v>46.975500000000004</v>
      </c>
      <c r="G50" s="2">
        <f>1.69*(657/100)</f>
        <v>11.103300000000001</v>
      </c>
      <c r="H50" s="2">
        <f>1.14*(657/100)</f>
        <v>7.4897999999999998</v>
      </c>
      <c r="I50" s="2">
        <f>2.93*(657/100)</f>
        <v>19.250100000000003</v>
      </c>
      <c r="J50" s="2">
        <f>3.5*(657/100)</f>
        <v>22.995000000000001</v>
      </c>
      <c r="K50" s="2">
        <f>2.78*(657/100)</f>
        <v>18.264599999999998</v>
      </c>
      <c r="L50" s="2">
        <f>7.82*(657/100)</f>
        <v>51.377400000000002</v>
      </c>
      <c r="M50" s="2">
        <f>12.2*(657/100)</f>
        <v>80.153999999999996</v>
      </c>
      <c r="N50" s="2">
        <f t="shared" si="0"/>
        <v>440.19</v>
      </c>
    </row>
    <row r="51" spans="1:14" x14ac:dyDescent="0.25">
      <c r="A51">
        <v>1970</v>
      </c>
      <c r="B51" s="2">
        <f>9.06*(657/100)</f>
        <v>59.524200000000008</v>
      </c>
      <c r="C51" s="2">
        <f>4.4*(657/100)</f>
        <v>28.908000000000005</v>
      </c>
      <c r="D51" s="2">
        <f>25.86*(657/100)</f>
        <v>169.90020000000001</v>
      </c>
      <c r="E51" s="2">
        <f>10.69*(657/100)</f>
        <v>70.2333</v>
      </c>
      <c r="F51" s="2">
        <f>13.99*(657/100)</f>
        <v>91.914300000000011</v>
      </c>
      <c r="G51" s="2">
        <f>14.44*(657/100)</f>
        <v>94.870800000000003</v>
      </c>
      <c r="H51" s="2">
        <f>15.43*(657/100)</f>
        <v>101.3751</v>
      </c>
      <c r="I51" s="2">
        <f>8.57*(657/100)</f>
        <v>56.304900000000004</v>
      </c>
      <c r="J51" s="2">
        <f>0.71*(657/100)</f>
        <v>4.6646999999999998</v>
      </c>
      <c r="K51" s="2">
        <f>6.41*(657/100)</f>
        <v>42.113700000000001</v>
      </c>
      <c r="L51" s="2">
        <f>2.71*(657/100)</f>
        <v>17.8047</v>
      </c>
      <c r="M51" s="2">
        <f>0.66*(657/100)</f>
        <v>4.3362000000000007</v>
      </c>
      <c r="N51" s="2">
        <f t="shared" si="0"/>
        <v>741.95010000000002</v>
      </c>
    </row>
    <row r="52" spans="1:14" x14ac:dyDescent="0.25">
      <c r="A52">
        <v>1971</v>
      </c>
      <c r="B52" s="2">
        <f>5.25*(657/100)</f>
        <v>34.4925</v>
      </c>
      <c r="C52" s="2">
        <f>6.88*(657/100)</f>
        <v>45.201599999999999</v>
      </c>
      <c r="D52" s="2">
        <f>9.09*(657/100)</f>
        <v>59.721299999999999</v>
      </c>
      <c r="E52" s="2">
        <f>19.51*(657/100)</f>
        <v>128.1807</v>
      </c>
      <c r="F52" s="2">
        <f>26.65*(657/100)</f>
        <v>175.09049999999999</v>
      </c>
      <c r="G52" s="2">
        <f>15.68*(657/100)</f>
        <v>103.0176</v>
      </c>
      <c r="H52" s="2">
        <f>7.51*(657/100)</f>
        <v>49.340699999999998</v>
      </c>
      <c r="I52" s="2">
        <f>1.6*(657/100)</f>
        <v>10.512</v>
      </c>
      <c r="J52" s="2">
        <f>2.9*(657/100)</f>
        <v>19.053000000000001</v>
      </c>
      <c r="K52" s="2">
        <f>0.15*(657/100)</f>
        <v>0.98550000000000004</v>
      </c>
      <c r="L52" s="2">
        <f>1.06*(657/100)</f>
        <v>6.9642000000000008</v>
      </c>
      <c r="M52" s="2">
        <f>0.55*(657/100)</f>
        <v>3.6135000000000006</v>
      </c>
      <c r="N52" s="2">
        <f t="shared" si="0"/>
        <v>636.17310000000009</v>
      </c>
    </row>
    <row r="53" spans="1:14" x14ac:dyDescent="0.25">
      <c r="A53">
        <v>1972</v>
      </c>
      <c r="B53" s="2">
        <f>13.07*(657/100)</f>
        <v>85.869900000000001</v>
      </c>
      <c r="C53" s="2">
        <f>7.89*(657/100)</f>
        <v>51.837299999999999</v>
      </c>
      <c r="D53" s="2">
        <f>2.25*(657/100)</f>
        <v>14.782500000000001</v>
      </c>
      <c r="E53" s="2">
        <f>3.85*(657/100)</f>
        <v>25.294500000000003</v>
      </c>
      <c r="F53" s="2">
        <f>17.15*(657/100)</f>
        <v>112.6755</v>
      </c>
      <c r="G53" s="2">
        <f>9.31*(657/100)</f>
        <v>61.166700000000006</v>
      </c>
      <c r="H53" s="2">
        <f>4.02*(657/100)</f>
        <v>26.411399999999997</v>
      </c>
      <c r="I53" s="2">
        <f>6.3*(657/100)</f>
        <v>41.390999999999998</v>
      </c>
      <c r="J53" s="2">
        <f>0.23*(657/100)</f>
        <v>1.5111000000000001</v>
      </c>
      <c r="K53" s="2">
        <f>0.99*(657/100)</f>
        <v>6.5043000000000006</v>
      </c>
      <c r="L53" s="2">
        <f>4.76*(657/100)</f>
        <v>31.273199999999999</v>
      </c>
      <c r="M53" s="2">
        <f>1.46*(657/100)</f>
        <v>9.5922000000000001</v>
      </c>
      <c r="N53" s="2">
        <f t="shared" si="0"/>
        <v>468.30959999999999</v>
      </c>
    </row>
    <row r="54" spans="1:14" x14ac:dyDescent="0.25">
      <c r="A54">
        <v>1973</v>
      </c>
      <c r="B54" s="2">
        <f>3.74*(657/100)</f>
        <v>24.571800000000003</v>
      </c>
      <c r="C54" s="2">
        <f>9.11*(657/100)</f>
        <v>59.852699999999999</v>
      </c>
      <c r="D54" s="2">
        <f>13.67*(657/100)</f>
        <v>89.811900000000009</v>
      </c>
      <c r="E54" s="2">
        <f>42.45*(657/100)</f>
        <v>278.8965</v>
      </c>
      <c r="F54" s="2">
        <f>24.08*(657/100)</f>
        <v>158.2056</v>
      </c>
      <c r="G54" s="2">
        <f>25.72*(657/100)</f>
        <v>168.9804</v>
      </c>
      <c r="H54" s="2">
        <f>6.24*(657/100)</f>
        <v>40.9968</v>
      </c>
      <c r="I54" s="2">
        <f>12.41*(657/100)</f>
        <v>81.53370000000001</v>
      </c>
      <c r="J54" s="2">
        <f>3.25*(657/100)</f>
        <v>21.352499999999999</v>
      </c>
      <c r="K54" s="2">
        <f>0.1*(657/100)</f>
        <v>0.65700000000000003</v>
      </c>
      <c r="L54" s="2">
        <f>17.2*(657/100)</f>
        <v>113.004</v>
      </c>
      <c r="M54" s="2">
        <f>0.11*(657/100)</f>
        <v>0.72270000000000001</v>
      </c>
      <c r="N54" s="2">
        <f t="shared" si="0"/>
        <v>1038.5856000000001</v>
      </c>
    </row>
    <row r="55" spans="1:14" x14ac:dyDescent="0.25">
      <c r="A55">
        <v>1974</v>
      </c>
      <c r="B55" s="2">
        <f>6.97*(657/100)</f>
        <v>45.792900000000003</v>
      </c>
      <c r="C55" s="2">
        <f>20.57*(657/100)</f>
        <v>135.14490000000001</v>
      </c>
      <c r="D55" s="2">
        <f>7.42*(657/100)</f>
        <v>48.749400000000001</v>
      </c>
      <c r="E55" s="2">
        <f>10.19*(657/100)</f>
        <v>66.948300000000003</v>
      </c>
      <c r="F55" s="2">
        <f>14.97*(657/100)</f>
        <v>98.352900000000005</v>
      </c>
      <c r="G55" s="2">
        <f>11.83*(657/100)</f>
        <v>77.723100000000002</v>
      </c>
      <c r="H55" s="2">
        <f>11.2*(657/100)</f>
        <v>73.584000000000003</v>
      </c>
      <c r="I55" s="2">
        <f>0.48*(657/100)</f>
        <v>3.1536</v>
      </c>
      <c r="J55" s="2">
        <f>5.54*(657/100)</f>
        <v>36.397800000000004</v>
      </c>
      <c r="K55" s="2">
        <f>5*(657/100)</f>
        <v>32.85</v>
      </c>
      <c r="L55" s="2">
        <f>1.11*(657/100)</f>
        <v>7.2927000000000008</v>
      </c>
      <c r="M55" s="2">
        <f>7.75*(657/100)</f>
        <v>50.917500000000004</v>
      </c>
      <c r="N55" s="2">
        <f t="shared" si="0"/>
        <v>676.90710000000001</v>
      </c>
    </row>
    <row r="56" spans="1:14" x14ac:dyDescent="0.25">
      <c r="A56">
        <v>1975</v>
      </c>
      <c r="B56" s="2">
        <f>1.69*(657/100)</f>
        <v>11.103300000000001</v>
      </c>
      <c r="C56" s="2">
        <f>14.3*(657/100)</f>
        <v>93.951000000000008</v>
      </c>
      <c r="D56" s="2">
        <f>16.74*(657/100)</f>
        <v>109.98179999999999</v>
      </c>
      <c r="E56" s="2">
        <f>18.83*(657/100)</f>
        <v>123.7131</v>
      </c>
      <c r="F56" s="2">
        <f>23.58*(657/100)</f>
        <v>154.92060000000001</v>
      </c>
      <c r="G56" s="2">
        <f>35.49*(657/100)</f>
        <v>233.16930000000002</v>
      </c>
      <c r="H56" s="2">
        <f>17.49*(657/100)</f>
        <v>114.9093</v>
      </c>
      <c r="I56" s="2">
        <f>6.82*(657/100)</f>
        <v>44.807400000000001</v>
      </c>
      <c r="J56" s="2">
        <f>4.33*(657/100)</f>
        <v>28.4481</v>
      </c>
      <c r="K56" s="2">
        <f>2.15*(657/100)</f>
        <v>14.125500000000001</v>
      </c>
      <c r="L56" s="2">
        <f>0.45*(657/100)</f>
        <v>2.9565000000000001</v>
      </c>
      <c r="M56" s="2">
        <f>12.02*(657/100)</f>
        <v>78.971400000000003</v>
      </c>
      <c r="N56" s="2">
        <f t="shared" si="0"/>
        <v>1011.0573000000001</v>
      </c>
    </row>
    <row r="57" spans="1:14" x14ac:dyDescent="0.25">
      <c r="A57">
        <v>1976</v>
      </c>
      <c r="B57" s="2">
        <f>21.43*(657/100)</f>
        <v>140.79509999999999</v>
      </c>
      <c r="C57" s="2">
        <f>6.37*(657/100)</f>
        <v>41.850900000000003</v>
      </c>
      <c r="D57" s="2">
        <f>7.26*(657/100)</f>
        <v>47.6982</v>
      </c>
      <c r="E57" s="2">
        <f>13.15*(657/100)</f>
        <v>86.395500000000013</v>
      </c>
      <c r="F57" s="2">
        <f>16.72*(657/100)</f>
        <v>109.85039999999999</v>
      </c>
      <c r="G57" s="2">
        <f>13.97*(657/100)</f>
        <v>91.782900000000012</v>
      </c>
      <c r="H57" s="2">
        <f>4.84*(657/100)</f>
        <v>31.7988</v>
      </c>
      <c r="I57" s="2">
        <f>5.15*(657/100)</f>
        <v>33.835500000000003</v>
      </c>
      <c r="J57" s="2">
        <f>3.05*(657/100)</f>
        <v>20.038499999999999</v>
      </c>
      <c r="K57" s="2">
        <f>0*(657/100)</f>
        <v>0</v>
      </c>
      <c r="L57" s="2">
        <f>0.24*(657/100)</f>
        <v>1.5768</v>
      </c>
      <c r="M57" s="2">
        <f>12.98*(657/100)</f>
        <v>85.278600000000012</v>
      </c>
      <c r="N57" s="2">
        <f t="shared" si="0"/>
        <v>690.90120000000013</v>
      </c>
    </row>
    <row r="58" spans="1:14" x14ac:dyDescent="0.25">
      <c r="A58">
        <v>1977</v>
      </c>
      <c r="B58" s="2">
        <f>13.13*(657/100)</f>
        <v>86.264100000000013</v>
      </c>
      <c r="C58" s="2">
        <f>8.85*(657/100)</f>
        <v>58.144500000000001</v>
      </c>
      <c r="D58" s="2">
        <f>14.84*(657/100)</f>
        <v>97.498800000000003</v>
      </c>
      <c r="E58" s="2">
        <f>13.51*(657/100)</f>
        <v>88.7607</v>
      </c>
      <c r="F58" s="2">
        <f>11.54*(657/100)</f>
        <v>75.817799999999991</v>
      </c>
      <c r="G58" s="2">
        <f>25.25*(657/100)</f>
        <v>165.89250000000001</v>
      </c>
      <c r="H58" s="2">
        <f>12.17*(657/100)</f>
        <v>79.956900000000005</v>
      </c>
      <c r="I58" s="2">
        <f>0.54*(657/100)</f>
        <v>3.5478000000000005</v>
      </c>
      <c r="J58" s="2">
        <f>1.24*(657/100)</f>
        <v>8.1468000000000007</v>
      </c>
      <c r="K58" s="2">
        <f>0.65*(657/100)</f>
        <v>4.2705000000000002</v>
      </c>
      <c r="L58" s="2">
        <f>2.8*(657/100)</f>
        <v>18.396000000000001</v>
      </c>
      <c r="M58" s="2">
        <f>10.22*(657/100)</f>
        <v>67.145400000000009</v>
      </c>
      <c r="N58" s="2">
        <f t="shared" si="0"/>
        <v>753.84179999999992</v>
      </c>
    </row>
    <row r="59" spans="1:14" x14ac:dyDescent="0.25">
      <c r="A59">
        <v>1978</v>
      </c>
      <c r="B59" s="2">
        <f>7.65*(657/100)</f>
        <v>50.260500000000008</v>
      </c>
      <c r="C59" s="2">
        <f>3.58*(657/100)</f>
        <v>23.520600000000002</v>
      </c>
      <c r="D59" s="2">
        <f>20.02*(657/100)</f>
        <v>131.53139999999999</v>
      </c>
      <c r="E59" s="2">
        <f>7.55*(657/100)</f>
        <v>49.603500000000004</v>
      </c>
      <c r="F59" s="2">
        <f>19.85*(657/100)</f>
        <v>130.4145</v>
      </c>
      <c r="G59" s="2">
        <f>3.72*(657/100)</f>
        <v>24.440400000000004</v>
      </c>
      <c r="H59" s="2">
        <f>3.46*(657/100)</f>
        <v>22.732200000000002</v>
      </c>
      <c r="I59" s="2">
        <f>14.3*(657/100)</f>
        <v>93.951000000000008</v>
      </c>
      <c r="J59" s="2">
        <f>1.23*(657/100)</f>
        <v>8.0811000000000011</v>
      </c>
      <c r="K59" s="2">
        <f>8.68*(657/100)</f>
        <v>57.0276</v>
      </c>
      <c r="L59" s="2">
        <f>8.06*(657/100)</f>
        <v>52.954200000000007</v>
      </c>
      <c r="M59" s="2">
        <f>3.76*(657/100)</f>
        <v>24.703199999999999</v>
      </c>
      <c r="N59" s="2">
        <f t="shared" si="0"/>
        <v>669.22020000000009</v>
      </c>
    </row>
    <row r="60" spans="1:14" x14ac:dyDescent="0.25">
      <c r="A60">
        <v>1979</v>
      </c>
      <c r="B60" s="2">
        <f>12.89*(657/100)</f>
        <v>84.687300000000008</v>
      </c>
      <c r="C60" s="2">
        <f>10.17*(657/100)</f>
        <v>66.816900000000004</v>
      </c>
      <c r="D60" s="2">
        <f>11.46*(657/100)</f>
        <v>75.292200000000008</v>
      </c>
      <c r="E60" s="2">
        <f>5.22*(657/100)</f>
        <v>34.295400000000001</v>
      </c>
      <c r="F60" s="2">
        <f>19.64*(657/100)</f>
        <v>129.03480000000002</v>
      </c>
      <c r="G60" s="2">
        <f>6.86*(657/100)</f>
        <v>45.070200000000007</v>
      </c>
      <c r="H60" s="2">
        <f>5.93*(657/100)</f>
        <v>38.960099999999997</v>
      </c>
      <c r="I60" s="2">
        <f>0.47*(657/100)</f>
        <v>3.0878999999999999</v>
      </c>
      <c r="J60" s="2">
        <f>1.22*(657/100)</f>
        <v>8.0153999999999996</v>
      </c>
      <c r="K60" s="2">
        <f>0.26*(657/100)</f>
        <v>1.7082000000000002</v>
      </c>
      <c r="L60" s="2">
        <f>2.6*(657/100)</f>
        <v>17.082000000000001</v>
      </c>
      <c r="M60" s="2">
        <f>5.36*(657/100)</f>
        <v>35.215200000000003</v>
      </c>
      <c r="N60" s="2">
        <f t="shared" si="0"/>
        <v>539.26560000000006</v>
      </c>
    </row>
    <row r="61" spans="1:14" x14ac:dyDescent="0.25">
      <c r="A61">
        <v>1980</v>
      </c>
      <c r="B61" s="2">
        <f>0.45*(657/100)</f>
        <v>2.9565000000000001</v>
      </c>
      <c r="C61" s="2">
        <f>11.07*(657/100)</f>
        <v>72.729900000000001</v>
      </c>
      <c r="D61" s="2">
        <f>3.87*(657/100)</f>
        <v>25.425900000000002</v>
      </c>
      <c r="E61" s="2">
        <f>18.94*(657/100)</f>
        <v>124.43580000000001</v>
      </c>
      <c r="F61" s="2">
        <f>19.39*(657/100)</f>
        <v>127.39230000000001</v>
      </c>
      <c r="G61" s="2">
        <f>10.57*(657/100)</f>
        <v>69.444900000000004</v>
      </c>
      <c r="H61" s="2">
        <f>4.18*(657/100)</f>
        <v>27.462599999999998</v>
      </c>
      <c r="I61" s="2">
        <f>10.62*(657/100)</f>
        <v>69.773399999999995</v>
      </c>
      <c r="J61" s="2">
        <f>5.39*(657/100)</f>
        <v>35.412300000000002</v>
      </c>
      <c r="K61" s="2">
        <f>0.11*(657/100)</f>
        <v>0.72270000000000001</v>
      </c>
      <c r="L61" s="2">
        <f>16.15*(657/100)</f>
        <v>106.10549999999999</v>
      </c>
      <c r="M61" s="2">
        <f>0.03*(657/100)</f>
        <v>0.1971</v>
      </c>
      <c r="N61" s="2">
        <f t="shared" si="0"/>
        <v>662.05890000000011</v>
      </c>
    </row>
    <row r="62" spans="1:14" x14ac:dyDescent="0.25">
      <c r="A62">
        <v>1981</v>
      </c>
      <c r="B62" s="2">
        <f>5.21*(657/100)</f>
        <v>34.229700000000001</v>
      </c>
      <c r="C62" s="2">
        <f>9.09*(657/100)</f>
        <v>59.721299999999999</v>
      </c>
      <c r="D62" s="2">
        <f>11.37*(657/100)</f>
        <v>74.700900000000004</v>
      </c>
      <c r="E62" s="2">
        <f>5.27*(657/100)</f>
        <v>34.623899999999999</v>
      </c>
      <c r="F62" s="2">
        <f>8.46*(657/100)</f>
        <v>55.582200000000007</v>
      </c>
      <c r="G62" s="2">
        <f>14.09*(657/100)</f>
        <v>92.571300000000008</v>
      </c>
      <c r="H62" s="2">
        <f>12.67*(657/100)</f>
        <v>83.241900000000001</v>
      </c>
      <c r="I62" s="2">
        <f>0*(657/100)</f>
        <v>0</v>
      </c>
      <c r="J62" s="2">
        <f>7.42*(657/100)</f>
        <v>48.749400000000001</v>
      </c>
      <c r="K62" s="2">
        <f>6.1*(657/100)</f>
        <v>40.076999999999998</v>
      </c>
      <c r="L62" s="2">
        <f>0.27*(657/100)</f>
        <v>1.7739000000000003</v>
      </c>
      <c r="M62" s="2">
        <f>2.29*(657/100)</f>
        <v>15.045300000000001</v>
      </c>
      <c r="N62" s="2">
        <f t="shared" si="0"/>
        <v>540.31679999999994</v>
      </c>
    </row>
    <row r="63" spans="1:14" x14ac:dyDescent="0.25">
      <c r="A63">
        <v>1982</v>
      </c>
      <c r="B63" s="2">
        <f>13.21*(657/100)</f>
        <v>86.789700000000011</v>
      </c>
      <c r="C63" s="2">
        <f>18.47*(657/100)</f>
        <v>121.3479</v>
      </c>
      <c r="D63" s="2">
        <f>2.03*(657/100)</f>
        <v>13.3371</v>
      </c>
      <c r="E63" s="2">
        <f>4.57*(657/100)</f>
        <v>30.024900000000002</v>
      </c>
      <c r="F63" s="2">
        <f>0.95*(657/100)</f>
        <v>6.2415000000000003</v>
      </c>
      <c r="G63" s="2">
        <f>6.32*(657/100)</f>
        <v>41.522400000000005</v>
      </c>
      <c r="H63" s="2">
        <f>9.44*(657/100)</f>
        <v>62.020800000000001</v>
      </c>
      <c r="I63" s="2">
        <f>6.46*(657/100)</f>
        <v>42.4422</v>
      </c>
      <c r="J63" s="2">
        <f>4.25*(657/100)</f>
        <v>27.922499999999999</v>
      </c>
      <c r="K63" s="2">
        <f>12.26*(657/100)</f>
        <v>80.548200000000008</v>
      </c>
      <c r="L63" s="2">
        <f>0*(657/100)</f>
        <v>0</v>
      </c>
      <c r="M63" s="2">
        <f>6.69*(657/100)</f>
        <v>43.953300000000006</v>
      </c>
      <c r="N63" s="2">
        <f t="shared" si="0"/>
        <v>556.15050000000008</v>
      </c>
    </row>
    <row r="64" spans="1:14" x14ac:dyDescent="0.25">
      <c r="A64">
        <v>1983</v>
      </c>
      <c r="B64" s="2">
        <f>3.94*(657/100)</f>
        <v>25.8858</v>
      </c>
      <c r="C64" s="2">
        <f>9.26*(657/100)</f>
        <v>60.838200000000001</v>
      </c>
      <c r="D64" s="2">
        <f>14.59*(657/100)</f>
        <v>95.856300000000005</v>
      </c>
      <c r="E64" s="2">
        <f>6.43*(657/100)</f>
        <v>42.245100000000001</v>
      </c>
      <c r="F64" s="2">
        <f>3.77*(657/100)</f>
        <v>24.768900000000002</v>
      </c>
      <c r="G64" s="2">
        <f>9.66*(657/100)</f>
        <v>63.466200000000001</v>
      </c>
      <c r="H64" s="2">
        <f>6.47*(657/100)</f>
        <v>42.507899999999999</v>
      </c>
      <c r="I64" s="2">
        <f>8.11*(657/100)</f>
        <v>53.282699999999998</v>
      </c>
      <c r="J64" s="2">
        <f>0.94*(657/100)</f>
        <v>6.1757999999999997</v>
      </c>
      <c r="K64" s="2">
        <f>0.46*(657/100)</f>
        <v>3.0222000000000002</v>
      </c>
      <c r="L64" s="2">
        <f>6.8*(657/100)</f>
        <v>44.676000000000002</v>
      </c>
      <c r="M64" s="2">
        <f>0.73*(657/100)</f>
        <v>4.7961</v>
      </c>
      <c r="N64" s="2">
        <f t="shared" si="0"/>
        <v>467.52120000000002</v>
      </c>
    </row>
    <row r="65" spans="1:14" x14ac:dyDescent="0.25">
      <c r="A65">
        <v>1984</v>
      </c>
      <c r="B65" s="2">
        <f>10.46*(657/100)</f>
        <v>68.722200000000015</v>
      </c>
      <c r="C65" s="2">
        <f>8.68*(657/100)</f>
        <v>57.0276</v>
      </c>
      <c r="D65" s="2">
        <f>2.83*(657/100)</f>
        <v>18.5931</v>
      </c>
      <c r="E65" s="2">
        <f>9.78*(657/100)</f>
        <v>64.254599999999996</v>
      </c>
      <c r="F65" s="2">
        <f>21.98*(657/100)</f>
        <v>144.40860000000001</v>
      </c>
      <c r="G65" s="2">
        <f>9.11*(657/100)</f>
        <v>59.852699999999999</v>
      </c>
      <c r="H65" s="2">
        <f>2.57*(657/100)</f>
        <v>16.884899999999998</v>
      </c>
      <c r="I65" s="2">
        <f>0.38*(657/100)</f>
        <v>2.4965999999999999</v>
      </c>
      <c r="J65" s="2">
        <f>6.02*(657/100)</f>
        <v>39.551400000000001</v>
      </c>
      <c r="K65" s="2">
        <f>0.14*(657/100)</f>
        <v>0.91980000000000017</v>
      </c>
      <c r="L65" s="2">
        <f>0*(657/100)</f>
        <v>0</v>
      </c>
      <c r="M65" s="2">
        <f>1.54*(657/100)</f>
        <v>10.117800000000001</v>
      </c>
      <c r="N65" s="2">
        <f t="shared" si="0"/>
        <v>482.8293000000001</v>
      </c>
    </row>
    <row r="66" spans="1:14" x14ac:dyDescent="0.25">
      <c r="A66">
        <v>1985</v>
      </c>
      <c r="B66" s="2">
        <f>18.57*(657/100)</f>
        <v>122.00490000000001</v>
      </c>
      <c r="C66" s="2">
        <f>12.13*(657/100)</f>
        <v>79.694100000000006</v>
      </c>
      <c r="D66" s="2">
        <f>21.68*(657/100)</f>
        <v>142.4376</v>
      </c>
      <c r="E66" s="2">
        <f>14.89*(657/100)</f>
        <v>97.827300000000008</v>
      </c>
      <c r="F66" s="2">
        <f>10.08*(657/100)</f>
        <v>66.2256</v>
      </c>
      <c r="G66" s="2">
        <f>8.78*(657/100)</f>
        <v>57.684599999999996</v>
      </c>
      <c r="H66" s="2">
        <f>5.12*(657/100)</f>
        <v>33.638400000000004</v>
      </c>
      <c r="I66" s="2">
        <f>0.08*(657/100)</f>
        <v>0.52560000000000007</v>
      </c>
      <c r="J66" s="2">
        <f>3.08*(657/100)</f>
        <v>20.235600000000002</v>
      </c>
      <c r="K66" s="2">
        <f>0.95*(657/100)</f>
        <v>6.2415000000000003</v>
      </c>
      <c r="L66" s="2">
        <f>8.48*(657/100)</f>
        <v>55.713600000000007</v>
      </c>
      <c r="M66" s="2">
        <f>4.42*(657/100)</f>
        <v>29.039400000000001</v>
      </c>
      <c r="N66" s="2">
        <f t="shared" ref="N66:N85" si="1">SUM(B66:M66)</f>
        <v>711.26820000000021</v>
      </c>
    </row>
    <row r="67" spans="1:14" x14ac:dyDescent="0.25">
      <c r="A67">
        <v>1986</v>
      </c>
      <c r="B67" s="2">
        <f>22.02*(657/100)</f>
        <v>144.67140000000001</v>
      </c>
      <c r="C67" s="2">
        <f>16.03*(657/100)</f>
        <v>105.31710000000001</v>
      </c>
      <c r="D67" s="2">
        <f>4.32*(657/100)</f>
        <v>28.382400000000004</v>
      </c>
      <c r="E67" s="2">
        <f>1.64*(657/100)</f>
        <v>10.774799999999999</v>
      </c>
      <c r="F67" s="2">
        <f>14.42*(657/100)</f>
        <v>94.739400000000003</v>
      </c>
      <c r="G67" s="2">
        <f>11.66*(657/100)</f>
        <v>76.606200000000001</v>
      </c>
      <c r="H67" s="2">
        <f>8.24*(657/100)</f>
        <v>54.136800000000001</v>
      </c>
      <c r="I67" s="2">
        <f>0.03*(657/100)</f>
        <v>0.1971</v>
      </c>
      <c r="J67" s="2">
        <f>4.05*(657/100)</f>
        <v>26.608499999999999</v>
      </c>
      <c r="K67" s="2">
        <f>3.99*(657/100)</f>
        <v>26.214300000000001</v>
      </c>
      <c r="L67" s="2">
        <f>3.03*(657/100)</f>
        <v>19.9071</v>
      </c>
      <c r="M67" s="2">
        <f>20.4*(657/100)</f>
        <v>134.02799999999999</v>
      </c>
      <c r="N67" s="2">
        <f t="shared" si="1"/>
        <v>721.58310000000006</v>
      </c>
    </row>
    <row r="68" spans="1:14" x14ac:dyDescent="0.25">
      <c r="A68">
        <v>1987</v>
      </c>
      <c r="B68" s="2">
        <f>5.72*(657/100)</f>
        <v>37.580399999999997</v>
      </c>
      <c r="C68" s="2">
        <f>14.85*(657/100)</f>
        <v>97.564499999999995</v>
      </c>
      <c r="D68" s="2">
        <f>5.82*(657/100)</f>
        <v>38.237400000000001</v>
      </c>
      <c r="E68" s="2">
        <f>8.1*(657/100)</f>
        <v>53.216999999999999</v>
      </c>
      <c r="F68" s="2">
        <f>46.38*(657/100)</f>
        <v>304.71660000000003</v>
      </c>
      <c r="G68" s="2">
        <f>15.88*(657/100)</f>
        <v>104.33160000000001</v>
      </c>
      <c r="H68" s="2">
        <f>14.11*(657/100)</f>
        <v>92.702700000000007</v>
      </c>
      <c r="I68" s="2">
        <f>6.15*(657/100)</f>
        <v>40.405500000000004</v>
      </c>
      <c r="J68" s="2">
        <f>0.83*(657/100)</f>
        <v>5.4531000000000001</v>
      </c>
      <c r="K68" s="2">
        <f>2.41*(657/100)</f>
        <v>15.833700000000002</v>
      </c>
      <c r="L68" s="2">
        <f>1.68*(657/100)</f>
        <v>11.037599999999999</v>
      </c>
      <c r="M68" s="2">
        <f>17.42*(657/100)</f>
        <v>114.44940000000001</v>
      </c>
      <c r="N68" s="2">
        <f t="shared" si="1"/>
        <v>915.52949999999998</v>
      </c>
    </row>
    <row r="69" spans="1:14" x14ac:dyDescent="0.25">
      <c r="A69">
        <v>1988</v>
      </c>
      <c r="B69" s="2">
        <f>7.8*(657/100)</f>
        <v>51.246000000000002</v>
      </c>
      <c r="C69" s="2">
        <f>11.57*(657/100)</f>
        <v>76.014900000000011</v>
      </c>
      <c r="D69" s="2">
        <f>24.91*(657/100)</f>
        <v>163.65870000000001</v>
      </c>
      <c r="E69" s="2">
        <f>18.28*(657/100)</f>
        <v>120.09960000000001</v>
      </c>
      <c r="F69" s="2">
        <f>21.84*(657/100)</f>
        <v>143.4888</v>
      </c>
      <c r="G69" s="2">
        <f>11.92*(657/100)</f>
        <v>78.314400000000006</v>
      </c>
      <c r="H69" s="2">
        <f>18.64*(657/100)</f>
        <v>122.46480000000001</v>
      </c>
      <c r="I69" s="2">
        <f>3.57*(657/100)</f>
        <v>23.454899999999999</v>
      </c>
      <c r="J69" s="2">
        <f>2.65*(657/100)</f>
        <v>17.410499999999999</v>
      </c>
      <c r="K69" s="2">
        <f>2.12*(657/100)</f>
        <v>13.928400000000002</v>
      </c>
      <c r="L69" s="2">
        <f>0.79*(657/100)</f>
        <v>5.1903000000000006</v>
      </c>
      <c r="M69" s="2">
        <f>2.72*(657/100)</f>
        <v>17.870400000000004</v>
      </c>
      <c r="N69" s="2">
        <f t="shared" si="1"/>
        <v>833.1416999999999</v>
      </c>
    </row>
    <row r="70" spans="1:14" x14ac:dyDescent="0.25">
      <c r="A70">
        <v>1989</v>
      </c>
      <c r="B70" s="2">
        <f>3.23*(657/100)</f>
        <v>21.2211</v>
      </c>
      <c r="C70" s="2">
        <f>23.73*(657/100)</f>
        <v>155.90610000000001</v>
      </c>
      <c r="D70" s="2">
        <f>9.82*(657/100)</f>
        <v>64.517400000000009</v>
      </c>
      <c r="E70" s="2">
        <f>13.21*(657/100)</f>
        <v>86.789700000000011</v>
      </c>
      <c r="F70" s="2">
        <f>5.57*(657/100)</f>
        <v>36.594900000000003</v>
      </c>
      <c r="G70" s="2">
        <f>26.56*(657/100)</f>
        <v>174.4992</v>
      </c>
      <c r="H70" s="2">
        <f>11.87*(657/100)</f>
        <v>77.985900000000001</v>
      </c>
      <c r="I70" s="2">
        <f>0.52*(657/100)</f>
        <v>3.4164000000000003</v>
      </c>
      <c r="J70" s="2">
        <f>7.01*(657/100)</f>
        <v>46.055700000000002</v>
      </c>
      <c r="K70" s="2">
        <f>3.01*(657/100)</f>
        <v>19.775700000000001</v>
      </c>
      <c r="L70" s="2">
        <f>1.77*(657/100)</f>
        <v>11.6289</v>
      </c>
      <c r="M70" s="2">
        <f>1.4*(657/100)</f>
        <v>9.1980000000000004</v>
      </c>
      <c r="N70" s="2">
        <f t="shared" si="1"/>
        <v>707.58900000000006</v>
      </c>
    </row>
    <row r="71" spans="1:14" x14ac:dyDescent="0.25">
      <c r="A71">
        <v>1990</v>
      </c>
      <c r="B71" s="2">
        <f>1.56*(657/100)</f>
        <v>10.2492</v>
      </c>
      <c r="C71" s="2">
        <f>2.71*(657/100)</f>
        <v>17.8047</v>
      </c>
      <c r="D71" s="2">
        <f>8.94*(657/100)</f>
        <v>58.735799999999998</v>
      </c>
      <c r="E71" s="2">
        <f>31*(657/100)</f>
        <v>203.67000000000002</v>
      </c>
      <c r="F71" s="2">
        <f>21.3*(657/100)</f>
        <v>139.941</v>
      </c>
      <c r="G71" s="2">
        <f>18.71*(657/100)</f>
        <v>122.92470000000002</v>
      </c>
      <c r="H71" s="2">
        <f>1.08*(657/100)</f>
        <v>7.095600000000001</v>
      </c>
      <c r="I71" s="2">
        <f>0.86*(657/100)</f>
        <v>5.6501999999999999</v>
      </c>
      <c r="J71" s="2">
        <f>2.61*(657/100)</f>
        <v>17.1477</v>
      </c>
      <c r="K71" s="2">
        <f>0.4*(657/100)</f>
        <v>2.6280000000000001</v>
      </c>
      <c r="L71" s="2">
        <f>0.18*(657/100)</f>
        <v>1.1826000000000001</v>
      </c>
      <c r="M71" s="2">
        <f>8.75*(657/100)</f>
        <v>57.487500000000004</v>
      </c>
      <c r="N71" s="2">
        <f t="shared" si="1"/>
        <v>644.51700000000005</v>
      </c>
    </row>
    <row r="72" spans="1:14" x14ac:dyDescent="0.25">
      <c r="A72">
        <v>1991</v>
      </c>
      <c r="B72" s="2">
        <f>35.26*(657/100)</f>
        <v>231.65819999999999</v>
      </c>
      <c r="C72" s="2">
        <f>11.29*(657/100)</f>
        <v>74.175299999999993</v>
      </c>
      <c r="D72" s="2">
        <f>21.52*(657/100)</f>
        <v>141.38640000000001</v>
      </c>
      <c r="E72" s="2">
        <f>4.61*(657/100)</f>
        <v>30.287700000000005</v>
      </c>
      <c r="F72" s="2">
        <f>10.03*(657/100)</f>
        <v>65.897099999999995</v>
      </c>
      <c r="G72" s="2">
        <f>8.96*(657/100)</f>
        <v>58.867200000000011</v>
      </c>
      <c r="H72" s="2">
        <f>4.49*(657/100)</f>
        <v>29.499300000000002</v>
      </c>
      <c r="I72" s="2">
        <f>0.16*(657/100)</f>
        <v>1.0512000000000001</v>
      </c>
      <c r="J72" s="2">
        <f>0.31*(657/100)</f>
        <v>2.0367000000000002</v>
      </c>
      <c r="K72" s="2">
        <f>1.59*(657/100)</f>
        <v>10.446300000000001</v>
      </c>
      <c r="L72" s="2">
        <f>5.49*(657/100)</f>
        <v>36.069300000000005</v>
      </c>
      <c r="M72" s="2">
        <f>1.37*(657/100)</f>
        <v>9.0009000000000015</v>
      </c>
      <c r="N72" s="2">
        <f t="shared" si="1"/>
        <v>690.37559999999985</v>
      </c>
    </row>
    <row r="73" spans="1:14" x14ac:dyDescent="0.25">
      <c r="A73">
        <v>1992</v>
      </c>
      <c r="B73" s="2">
        <f>11.37*(657/100)</f>
        <v>74.700900000000004</v>
      </c>
      <c r="C73" s="2">
        <f>12.76*(657/100)</f>
        <v>83.833200000000005</v>
      </c>
      <c r="D73" s="2">
        <f>4.51*(657/100)</f>
        <v>29.630700000000001</v>
      </c>
      <c r="E73" s="2">
        <f>8.71*(657/100)</f>
        <v>57.224700000000006</v>
      </c>
      <c r="F73" s="2">
        <f>14.61*(657/100)</f>
        <v>95.987700000000004</v>
      </c>
      <c r="G73" s="2">
        <f>7.78*(657/100)</f>
        <v>51.114600000000003</v>
      </c>
      <c r="H73" s="2">
        <f>12.88*(657/100)</f>
        <v>84.621600000000015</v>
      </c>
      <c r="I73" s="2">
        <f>1.69*(657/100)</f>
        <v>11.103300000000001</v>
      </c>
      <c r="J73" s="2">
        <f>2.32*(657/100)</f>
        <v>15.2424</v>
      </c>
      <c r="K73" s="2">
        <f>0.2*(657/100)</f>
        <v>1.3140000000000001</v>
      </c>
      <c r="L73" s="2">
        <f>4.48*(657/100)</f>
        <v>29.433600000000006</v>
      </c>
      <c r="M73" s="2">
        <f>0.06*(657/100)</f>
        <v>0.39419999999999999</v>
      </c>
      <c r="N73" s="2">
        <f t="shared" si="1"/>
        <v>534.60089999999991</v>
      </c>
    </row>
    <row r="74" spans="1:14" x14ac:dyDescent="0.25">
      <c r="A74">
        <v>1993</v>
      </c>
      <c r="B74" s="2">
        <f>18.6*(657/100)</f>
        <v>122.20200000000001</v>
      </c>
      <c r="C74" s="2">
        <f>12.72*(657/100)</f>
        <v>83.570400000000006</v>
      </c>
      <c r="D74" s="2">
        <f>16*(657/100)</f>
        <v>105.12</v>
      </c>
      <c r="E74" s="2">
        <f>22.04*(657/100)</f>
        <v>144.80279999999999</v>
      </c>
      <c r="F74" s="2">
        <f>18.5*(657/100)</f>
        <v>121.545</v>
      </c>
      <c r="G74" s="2">
        <f>10.03*(657/100)</f>
        <v>65.897099999999995</v>
      </c>
      <c r="H74" s="2">
        <f>4.98*(657/100)</f>
        <v>32.718600000000002</v>
      </c>
      <c r="I74" s="2">
        <f>0.64*(657/100)</f>
        <v>4.2048000000000005</v>
      </c>
      <c r="J74" s="2">
        <f>0.39*(657/100)</f>
        <v>2.5623</v>
      </c>
      <c r="K74" s="2">
        <f>3.14*(657/100)</f>
        <v>20.629800000000003</v>
      </c>
      <c r="L74" s="2">
        <f>0.44*(657/100)</f>
        <v>2.8908</v>
      </c>
      <c r="M74" s="2">
        <f>0.86*(657/100)</f>
        <v>5.6501999999999999</v>
      </c>
      <c r="N74" s="2">
        <f t="shared" si="1"/>
        <v>711.79380000000015</v>
      </c>
    </row>
    <row r="75" spans="1:14" x14ac:dyDescent="0.25">
      <c r="A75">
        <v>1994</v>
      </c>
      <c r="B75" s="2">
        <f>1.6*(657/100)</f>
        <v>10.512</v>
      </c>
      <c r="C75" s="2">
        <f>6.85*(657/100)</f>
        <v>45.0045</v>
      </c>
      <c r="D75" s="2">
        <f>3.56*(657/100)</f>
        <v>23.389200000000002</v>
      </c>
      <c r="E75" s="2">
        <f>11.02*(657/100)</f>
        <v>72.401399999999995</v>
      </c>
      <c r="F75" s="2">
        <f>5.65*(657/100)</f>
        <v>37.120500000000007</v>
      </c>
      <c r="G75" s="2">
        <f>16.31*(657/100)</f>
        <v>107.1567</v>
      </c>
      <c r="H75" s="2">
        <f>2.34*(657/100)</f>
        <v>15.373799999999999</v>
      </c>
      <c r="I75" s="2">
        <f>7.15*(657/100)</f>
        <v>46.975500000000004</v>
      </c>
      <c r="J75" s="2">
        <f>1.2*(657/100)</f>
        <v>7.8840000000000003</v>
      </c>
      <c r="K75" s="2">
        <f>0.51*(657/100)</f>
        <v>3.3507000000000002</v>
      </c>
      <c r="L75" s="2">
        <f>0.15*(657/100)</f>
        <v>0.98550000000000004</v>
      </c>
      <c r="M75" s="2">
        <f>6*(657/100)</f>
        <v>39.42</v>
      </c>
      <c r="N75" s="2">
        <f t="shared" si="1"/>
        <v>409.57380000000006</v>
      </c>
    </row>
    <row r="76" spans="1:14" x14ac:dyDescent="0.25">
      <c r="A76">
        <v>1995</v>
      </c>
      <c r="B76" s="2">
        <f>8.72*(657/100)</f>
        <v>57.290400000000005</v>
      </c>
      <c r="C76" s="2">
        <f>7.73*(657/100)</f>
        <v>50.786100000000005</v>
      </c>
      <c r="D76" s="2">
        <f>21.93*(657/100)</f>
        <v>144.08010000000002</v>
      </c>
      <c r="E76" s="2">
        <f>19.32*(657/100)</f>
        <v>126.9324</v>
      </c>
      <c r="F76" s="2">
        <f>19.43*(657/100)</f>
        <v>127.6551</v>
      </c>
      <c r="G76" s="2">
        <f>9.27*(657/100)</f>
        <v>60.9039</v>
      </c>
      <c r="H76" s="2">
        <f>5.79*(657/100)</f>
        <v>38.040300000000002</v>
      </c>
      <c r="I76" s="2">
        <f>0.81*(657/100)</f>
        <v>5.3217000000000008</v>
      </c>
      <c r="J76" s="2">
        <f>0.23*(657/100)</f>
        <v>1.5111000000000001</v>
      </c>
      <c r="K76" s="2">
        <f>2.49*(657/100)</f>
        <v>16.359300000000001</v>
      </c>
      <c r="L76" s="2">
        <f>4.54*(657/100)</f>
        <v>29.8278</v>
      </c>
      <c r="M76" s="2">
        <f>4.73*(657/100)</f>
        <v>31.076100000000004</v>
      </c>
      <c r="N76" s="2">
        <f t="shared" si="1"/>
        <v>689.78430000000003</v>
      </c>
    </row>
    <row r="77" spans="1:14" x14ac:dyDescent="0.25">
      <c r="A77">
        <v>1996</v>
      </c>
      <c r="B77" s="2">
        <f>5.37*(657/100)</f>
        <v>35.280900000000003</v>
      </c>
      <c r="C77" s="2">
        <f>31.08*(657/100)</f>
        <v>204.19559999999998</v>
      </c>
      <c r="D77" s="2">
        <f>19.11*(657/100)</f>
        <v>125.5527</v>
      </c>
      <c r="E77" s="2">
        <f>14.76*(657/100)</f>
        <v>96.973200000000006</v>
      </c>
      <c r="F77" s="2">
        <f>10.92*(657/100)</f>
        <v>71.744399999999999</v>
      </c>
      <c r="G77" s="2">
        <f>22.26*(657/100)</f>
        <v>146.24820000000003</v>
      </c>
      <c r="H77" s="2">
        <f>12.92*(657/100)</f>
        <v>84.884399999999999</v>
      </c>
      <c r="I77" s="2">
        <f>6.32*(657/100)</f>
        <v>41.522400000000005</v>
      </c>
      <c r="J77" s="2">
        <f>5.82*(657/100)</f>
        <v>38.237400000000001</v>
      </c>
      <c r="K77" s="2">
        <f>2.24*(657/100)</f>
        <v>14.716800000000003</v>
      </c>
      <c r="L77" s="2">
        <f>2.76*(657/100)</f>
        <v>18.133199999999999</v>
      </c>
      <c r="M77" s="2">
        <f>0.52*(657/100)</f>
        <v>3.4164000000000003</v>
      </c>
      <c r="N77" s="2">
        <f t="shared" si="1"/>
        <v>880.90560000000005</v>
      </c>
    </row>
    <row r="78" spans="1:14" x14ac:dyDescent="0.25">
      <c r="A78">
        <v>1997</v>
      </c>
      <c r="B78" s="2">
        <f>3.74*(657/100)</f>
        <v>24.571800000000003</v>
      </c>
      <c r="C78" s="2">
        <f>2.87*(657/100)</f>
        <v>18.855900000000002</v>
      </c>
      <c r="D78" s="2">
        <f>4.85*(657/100)</f>
        <v>31.8645</v>
      </c>
      <c r="E78" s="2">
        <f>12.33*(657/100)</f>
        <v>81.008099999999999</v>
      </c>
      <c r="F78" s="2">
        <f>20.97*(657/100)</f>
        <v>137.77289999999999</v>
      </c>
      <c r="G78" s="2">
        <f>23.83*(657/100)</f>
        <v>156.56309999999999</v>
      </c>
      <c r="H78" s="2">
        <f>4.59*(657/100)</f>
        <v>30.156300000000002</v>
      </c>
      <c r="I78" s="2">
        <f>6.46*(657/100)</f>
        <v>42.4422</v>
      </c>
      <c r="J78" s="2">
        <f>0.45*(657/100)</f>
        <v>2.9565000000000001</v>
      </c>
      <c r="K78" s="2">
        <f>0.67*(657/100)</f>
        <v>4.4019000000000004</v>
      </c>
      <c r="L78" s="2">
        <f>1.66*(657/100)</f>
        <v>10.9062</v>
      </c>
      <c r="M78" s="2">
        <f>4*(657/100)</f>
        <v>26.28</v>
      </c>
      <c r="N78" s="2">
        <f t="shared" si="1"/>
        <v>567.7793999999999</v>
      </c>
    </row>
    <row r="79" spans="1:14" x14ac:dyDescent="0.25">
      <c r="A79">
        <v>1998</v>
      </c>
      <c r="B79" s="2">
        <f>8.71*(657/100)</f>
        <v>57.224700000000006</v>
      </c>
      <c r="C79" s="2">
        <f>26.34*(657/100)</f>
        <v>173.0538</v>
      </c>
      <c r="D79" s="2">
        <f>12.88*(657/100)</f>
        <v>84.621600000000015</v>
      </c>
      <c r="E79" s="2">
        <f>5.99*(657/100)</f>
        <v>39.354300000000002</v>
      </c>
      <c r="F79" s="2">
        <f>7.04*(657/100)</f>
        <v>46.252800000000001</v>
      </c>
      <c r="G79" s="2">
        <f>4.09*(657/100)</f>
        <v>26.871300000000002</v>
      </c>
      <c r="H79" s="2">
        <f>2.33*(657/100)</f>
        <v>15.308100000000001</v>
      </c>
      <c r="I79" s="2">
        <f>3.22*(657/100)</f>
        <v>21.155400000000004</v>
      </c>
      <c r="J79" s="2">
        <f>0.17*(657/100)</f>
        <v>1.1169000000000002</v>
      </c>
      <c r="K79" s="2">
        <f>1.04*(657/100)</f>
        <v>6.8328000000000007</v>
      </c>
      <c r="L79" s="2">
        <f>0.03*(657/100)</f>
        <v>0.1971</v>
      </c>
      <c r="M79" s="2">
        <f>0.67*(657/100)</f>
        <v>4.4019000000000004</v>
      </c>
      <c r="N79" s="2">
        <f t="shared" si="1"/>
        <v>476.39070000000004</v>
      </c>
    </row>
    <row r="80" spans="1:14" x14ac:dyDescent="0.25">
      <c r="A80">
        <v>1999</v>
      </c>
      <c r="B80" s="2">
        <f>1.9*(657/100)</f>
        <v>12.483000000000001</v>
      </c>
      <c r="C80" s="2">
        <f>0.69*(657/100)</f>
        <v>4.5332999999999997</v>
      </c>
      <c r="D80" s="2">
        <f>9.78*(657/100)</f>
        <v>64.254599999999996</v>
      </c>
      <c r="E80" s="2">
        <f>17.37*(657/100)</f>
        <v>114.12090000000001</v>
      </c>
      <c r="F80" s="2">
        <f>15.69*(657/100)</f>
        <v>103.08329999999999</v>
      </c>
      <c r="G80" s="2">
        <f>17.07*(657/100)</f>
        <v>112.1499</v>
      </c>
      <c r="H80" s="2">
        <f>7.6*(657/100)</f>
        <v>49.932000000000002</v>
      </c>
      <c r="I80" s="2">
        <f>2.48*(657/100)</f>
        <v>16.293600000000001</v>
      </c>
      <c r="J80" s="2">
        <f>3.14*(657/100)</f>
        <v>20.629800000000003</v>
      </c>
      <c r="K80" s="2">
        <f>0.63*(657/100)</f>
        <v>4.1391</v>
      </c>
      <c r="L80" s="2">
        <f>0.38*(657/100)</f>
        <v>2.4965999999999999</v>
      </c>
      <c r="M80" s="2">
        <f>11.48*(657/100)</f>
        <v>75.423600000000008</v>
      </c>
      <c r="N80" s="2">
        <f t="shared" si="1"/>
        <v>579.53970000000004</v>
      </c>
    </row>
    <row r="81" spans="1:14" x14ac:dyDescent="0.25">
      <c r="A81">
        <v>2000</v>
      </c>
      <c r="B81" s="2">
        <f>7.43*(657/100)</f>
        <v>48.815100000000001</v>
      </c>
      <c r="C81" s="2">
        <f>14.32*(657/100)</f>
        <v>94.082400000000007</v>
      </c>
      <c r="D81" s="2">
        <f>9.84*(657/100)</f>
        <v>64.648800000000008</v>
      </c>
      <c r="E81" s="2">
        <f>10.19*(657/100)</f>
        <v>66.948300000000003</v>
      </c>
      <c r="F81" s="2">
        <f>10.29*(657/100)</f>
        <v>67.6053</v>
      </c>
      <c r="G81" s="2">
        <f>10.77*(657/100)</f>
        <v>70.758899999999997</v>
      </c>
      <c r="H81" s="2">
        <f>15.45*(657/100)</f>
        <v>101.5065</v>
      </c>
      <c r="I81" s="2">
        <f>4.5*(657/100)</f>
        <v>29.565000000000001</v>
      </c>
      <c r="J81" s="2">
        <f>2.04*(657/100)</f>
        <v>13.402800000000001</v>
      </c>
      <c r="K81" s="2">
        <f>1.3*(657/100)</f>
        <v>8.5410000000000004</v>
      </c>
      <c r="L81" s="2">
        <f>6.65*(657/100)</f>
        <v>43.690500000000007</v>
      </c>
      <c r="M81" s="2">
        <f>7.7*(657/100)</f>
        <v>50.589000000000006</v>
      </c>
      <c r="N81" s="2">
        <f t="shared" si="1"/>
        <v>660.15360000000021</v>
      </c>
    </row>
    <row r="82" spans="1:14" x14ac:dyDescent="0.25">
      <c r="A82">
        <v>2001</v>
      </c>
      <c r="B82" s="2">
        <f>9.54*(657/100)</f>
        <v>62.677799999999998</v>
      </c>
      <c r="C82" s="2">
        <f>32.3*(657/100)</f>
        <v>212.21099999999998</v>
      </c>
      <c r="D82" s="2">
        <f>21.35*(657/100)</f>
        <v>140.26950000000002</v>
      </c>
      <c r="E82" s="2">
        <f>18.28*(657/100)</f>
        <v>120.09960000000001</v>
      </c>
      <c r="F82" s="2">
        <f>10.14*(657/100)</f>
        <v>66.619800000000012</v>
      </c>
      <c r="G82" s="2">
        <f>11.6*(657/100)</f>
        <v>76.212000000000003</v>
      </c>
      <c r="H82" s="2">
        <f>8.2*(657/100)</f>
        <v>53.873999999999995</v>
      </c>
      <c r="I82" s="2">
        <f>8.72*(657/100)</f>
        <v>57.290400000000005</v>
      </c>
      <c r="J82" s="2">
        <f>3.88*(657/100)</f>
        <v>25.491600000000002</v>
      </c>
      <c r="K82" s="2">
        <f>3.24*(657/100)</f>
        <v>21.286800000000003</v>
      </c>
      <c r="L82" s="2">
        <f>21.06*(657/100)</f>
        <v>138.36420000000001</v>
      </c>
      <c r="M82" s="2">
        <f>8.73*(657/100)</f>
        <v>57.356100000000005</v>
      </c>
      <c r="N82" s="2">
        <f t="shared" si="1"/>
        <v>1031.7528</v>
      </c>
    </row>
    <row r="83" spans="1:14" x14ac:dyDescent="0.25">
      <c r="A83">
        <v>2002</v>
      </c>
      <c r="B83" s="2">
        <f>2.22*(657/100)</f>
        <v>14.585400000000002</v>
      </c>
      <c r="C83" s="2">
        <f>5.44*(657/100)</f>
        <v>35.740800000000007</v>
      </c>
      <c r="D83" s="2">
        <f>14.04*(657/100)</f>
        <v>92.242800000000003</v>
      </c>
      <c r="E83" s="2">
        <f>10.5*(657/100)</f>
        <v>68.984999999999999</v>
      </c>
      <c r="F83" s="2">
        <f>9.1*(657/100)</f>
        <v>59.786999999999999</v>
      </c>
      <c r="G83" s="2">
        <f>7.11*(657/100)</f>
        <v>46.712700000000005</v>
      </c>
      <c r="H83" s="2">
        <f>3.96*(657/100)</f>
        <v>26.017200000000003</v>
      </c>
      <c r="I83" s="2">
        <f>2.97*(657/100)</f>
        <v>19.512900000000002</v>
      </c>
      <c r="J83" s="2">
        <f>0.01*(657/100)</f>
        <v>6.5700000000000008E-2</v>
      </c>
      <c r="K83" s="2">
        <f>0.02*(657/100)</f>
        <v>0.13140000000000002</v>
      </c>
      <c r="L83" s="2">
        <f>2.57*(657/100)</f>
        <v>16.884899999999998</v>
      </c>
      <c r="M83" s="2">
        <f>1.69*(657/100)</f>
        <v>11.103300000000001</v>
      </c>
      <c r="N83" s="2">
        <f t="shared" si="1"/>
        <v>391.76909999999998</v>
      </c>
    </row>
    <row r="84" spans="1:14" x14ac:dyDescent="0.25">
      <c r="A84">
        <v>2003</v>
      </c>
      <c r="B84" s="2">
        <f>4.76*(657/100)</f>
        <v>31.273199999999999</v>
      </c>
      <c r="C84" s="2">
        <f>5.37*(657/100)</f>
        <v>35.280900000000003</v>
      </c>
      <c r="D84" s="2">
        <f>8.43*(657/100)</f>
        <v>55.385100000000001</v>
      </c>
      <c r="E84" s="2">
        <f>14.78*(657/100)</f>
        <v>97.104600000000005</v>
      </c>
      <c r="F84" s="2">
        <f>21.43*(657/100)</f>
        <v>140.79509999999999</v>
      </c>
      <c r="G84" s="2">
        <f>23.55*(657/100)</f>
        <v>154.7235</v>
      </c>
      <c r="H84" s="2">
        <f>12.53*(657/100)</f>
        <v>82.322100000000006</v>
      </c>
      <c r="I84" s="2">
        <f>0.16*(657/100)</f>
        <v>1.0512000000000001</v>
      </c>
      <c r="J84" s="2">
        <f>1.35*(657/100)</f>
        <v>8.8695000000000004</v>
      </c>
      <c r="K84" s="2">
        <f>0.97*(657/100)</f>
        <v>6.3729000000000005</v>
      </c>
      <c r="L84" s="2">
        <f>2.53*(657/100)</f>
        <v>16.6221</v>
      </c>
      <c r="M84" s="2">
        <f>13.92*(657/100)</f>
        <v>91.454400000000007</v>
      </c>
      <c r="N84" s="2">
        <f t="shared" si="1"/>
        <v>721.25459999999998</v>
      </c>
    </row>
    <row r="85" spans="1:14" x14ac:dyDescent="0.25">
      <c r="A85">
        <v>2004</v>
      </c>
      <c r="B85" s="2">
        <f>4.57*(657/100)</f>
        <v>30.024900000000002</v>
      </c>
      <c r="C85" s="2">
        <f>8.13*(657/100)</f>
        <v>53.414100000000005</v>
      </c>
      <c r="D85" s="2">
        <f>13.54*(657/100)</f>
        <v>88.957799999999992</v>
      </c>
      <c r="E85" s="2">
        <f>16.45*(657/100)</f>
        <v>108.0765</v>
      </c>
      <c r="F85" s="2">
        <f>10.77*(657/100)</f>
        <v>70.758899999999997</v>
      </c>
      <c r="G85" s="2">
        <f>8.11*(657/100)</f>
        <v>53.282699999999998</v>
      </c>
      <c r="H85" s="2">
        <f>8.16*(657/100)</f>
        <v>53.611200000000004</v>
      </c>
      <c r="I85" s="2">
        <f>6.57*(657/100)</f>
        <v>43.164900000000003</v>
      </c>
      <c r="J85" s="2">
        <f>2.2*(657/100)</f>
        <v>14.454000000000002</v>
      </c>
      <c r="K85" s="2">
        <f>0.22*(657/100)</f>
        <v>1.4454</v>
      </c>
      <c r="L85" s="2">
        <f>4.91*(657/100)</f>
        <v>32.258700000000005</v>
      </c>
      <c r="M85" s="2">
        <f>1.08*(657/100)</f>
        <v>7.095600000000001</v>
      </c>
      <c r="N85" s="2">
        <f t="shared" si="1"/>
        <v>556.54469999999981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opLeftCell="A55" workbookViewId="0">
      <selection activeCell="F87" sqref="F87"/>
    </sheetView>
  </sheetViews>
  <sheetFormatPr defaultRowHeight="15" x14ac:dyDescent="0.25"/>
  <cols>
    <col min="1" max="1" width="7.7109375" customWidth="1"/>
    <col min="2" max="2" width="6.7109375" customWidth="1"/>
    <col min="3" max="14" width="5.7109375" customWidth="1"/>
  </cols>
  <sheetData>
    <row r="1" spans="1:14" x14ac:dyDescent="0.25">
      <c r="E1">
        <v>6570</v>
      </c>
    </row>
    <row r="2" spans="1:14" x14ac:dyDescent="0.25">
      <c r="A2">
        <v>123456</v>
      </c>
      <c r="B2">
        <v>1920</v>
      </c>
      <c r="C2" s="1">
        <f>(3.04*(657/100))*10</f>
        <v>199.72800000000001</v>
      </c>
      <c r="D2" s="1">
        <f>(5.96*(657/100))*10</f>
        <v>391.572</v>
      </c>
      <c r="E2" s="1">
        <f>(6.08*(657/100))*10</f>
        <v>399.45600000000002</v>
      </c>
      <c r="F2" s="1">
        <f>(8.2*(657/100))*10</f>
        <v>538.74</v>
      </c>
      <c r="G2" s="1">
        <f>(20.21*(657/100))*10</f>
        <v>1327.7970000000003</v>
      </c>
      <c r="H2" s="1">
        <f>(18.16*(657/100))*10</f>
        <v>1193.1120000000001</v>
      </c>
      <c r="I2" s="1">
        <f>(14.38*(657/100))*10</f>
        <v>944.76600000000008</v>
      </c>
      <c r="J2" s="1">
        <f>(2.26*(657/100))*10</f>
        <v>148.48199999999997</v>
      </c>
      <c r="K2" s="1">
        <f>(1.73*(657/100))*10</f>
        <v>113.66100000000002</v>
      </c>
      <c r="L2" s="1">
        <f>(0*(657/100))*10</f>
        <v>0</v>
      </c>
      <c r="M2" s="1">
        <f>(0*(657/100))*10</f>
        <v>0</v>
      </c>
      <c r="N2" s="1">
        <f>(1.53*(657/100))*10</f>
        <v>100.52100000000002</v>
      </c>
    </row>
    <row r="3" spans="1:14" x14ac:dyDescent="0.25">
      <c r="A3">
        <v>123456</v>
      </c>
      <c r="B3">
        <v>1921</v>
      </c>
      <c r="C3" s="1">
        <f>(8.89*(657/100))*10</f>
        <v>584.07300000000009</v>
      </c>
      <c r="D3" s="1">
        <f>(11.06*(657/100))*10</f>
        <v>726.64200000000005</v>
      </c>
      <c r="E3" s="1">
        <f>(17.24*(657/100))*10</f>
        <v>1132.6679999999999</v>
      </c>
      <c r="F3" s="1">
        <f>(11.83*(657/100))*10</f>
        <v>777.23099999999999</v>
      </c>
      <c r="G3" s="1">
        <f>(8.32*(657/100))*10</f>
        <v>546.62400000000002</v>
      </c>
      <c r="H3" s="1">
        <f>(4.53*(657/100))*10</f>
        <v>297.62100000000004</v>
      </c>
      <c r="I3" s="1">
        <f>(0.18*(657/100))*10</f>
        <v>11.826000000000001</v>
      </c>
      <c r="J3" s="1">
        <f>(1.98*(657/100))*10</f>
        <v>130.08600000000001</v>
      </c>
      <c r="K3" s="1">
        <f>(9.56*(657/100))*10</f>
        <v>628.0920000000001</v>
      </c>
      <c r="L3" s="1">
        <f>(5.49*(657/100))*10</f>
        <v>360.69300000000004</v>
      </c>
      <c r="M3" s="1">
        <f>(6.07*(657/100))*10</f>
        <v>398.79900000000009</v>
      </c>
      <c r="N3" s="1">
        <f>(2.29*(657/100))*10</f>
        <v>150.453</v>
      </c>
    </row>
    <row r="4" spans="1:14" x14ac:dyDescent="0.25">
      <c r="A4">
        <v>123456</v>
      </c>
      <c r="B4">
        <v>1922</v>
      </c>
      <c r="C4" s="1">
        <f>(6.58*(657/100))*10</f>
        <v>432.30600000000004</v>
      </c>
      <c r="D4" s="1">
        <f>(18.03*(657/100))*10</f>
        <v>1184.5710000000001</v>
      </c>
      <c r="E4" s="1">
        <f>(7.78*(657/100))*10</f>
        <v>511.14600000000002</v>
      </c>
      <c r="F4" s="1">
        <f>(30.36*(657/100))*10</f>
        <v>1994.652</v>
      </c>
      <c r="G4" s="1">
        <f>(24.34*(657/100))*10</f>
        <v>1599.1380000000001</v>
      </c>
      <c r="H4" s="1">
        <f>(11.57*(657/100))*10</f>
        <v>760.14900000000011</v>
      </c>
      <c r="I4" s="1">
        <f>(7.45*(657/100))*10</f>
        <v>489.46500000000003</v>
      </c>
      <c r="J4" s="1">
        <f>(10.19*(657/100))*10</f>
        <v>669.48300000000006</v>
      </c>
      <c r="K4" s="1">
        <f>(9.91*(657/100))*10</f>
        <v>651.08699999999999</v>
      </c>
      <c r="L4" s="1">
        <f>(3.49*(657/100))*10</f>
        <v>229.29300000000001</v>
      </c>
      <c r="M4" s="1">
        <f>(2.47*(657/100))*10</f>
        <v>162.27900000000002</v>
      </c>
      <c r="N4" s="1">
        <f>(1.31*(657/100))*10</f>
        <v>86.067000000000007</v>
      </c>
    </row>
    <row r="5" spans="1:14" x14ac:dyDescent="0.25">
      <c r="A5">
        <v>123456</v>
      </c>
      <c r="B5">
        <v>1923</v>
      </c>
      <c r="C5" s="1">
        <f>(3.82*(657/100))*10</f>
        <v>250.97399999999999</v>
      </c>
      <c r="D5" s="1">
        <f>(17.75*(657/100))*10</f>
        <v>1166.1750000000002</v>
      </c>
      <c r="E5" s="1">
        <f>(5.61*(657/100))*10</f>
        <v>368.577</v>
      </c>
      <c r="F5" s="1">
        <f>(9.88*(657/100))*10</f>
        <v>649.1160000000001</v>
      </c>
      <c r="G5" s="1">
        <f>(10.65*(657/100))*10</f>
        <v>699.70500000000004</v>
      </c>
      <c r="H5" s="1">
        <f>(36.78*(657/100))*10</f>
        <v>2416.4460000000004</v>
      </c>
      <c r="I5" s="1">
        <f>(3.32*(657/100))*10</f>
        <v>218.124</v>
      </c>
      <c r="J5" s="1">
        <f>(2.54*(657/100))*10</f>
        <v>166.87799999999999</v>
      </c>
      <c r="K5" s="1">
        <f>(0.88*(657/100))*10</f>
        <v>57.816000000000003</v>
      </c>
      <c r="L5" s="1">
        <f>(0.84*(657/100))*10</f>
        <v>55.187999999999995</v>
      </c>
      <c r="M5" s="1">
        <f>(2.09*(657/100))*10</f>
        <v>137.31299999999999</v>
      </c>
      <c r="N5" s="1">
        <f>(5.96*(657/100))*10</f>
        <v>391.572</v>
      </c>
    </row>
    <row r="6" spans="1:14" x14ac:dyDescent="0.25">
      <c r="A6">
        <v>123456</v>
      </c>
      <c r="B6">
        <v>1924</v>
      </c>
      <c r="C6" s="1">
        <f>(4.65*(657/100))*10</f>
        <v>305.50500000000005</v>
      </c>
      <c r="D6" s="1">
        <f>(14.84*(657/100))*10</f>
        <v>974.98800000000006</v>
      </c>
      <c r="E6" s="1">
        <f>(20.06*(657/100))*10</f>
        <v>1317.942</v>
      </c>
      <c r="F6" s="1">
        <f>(13.51*(657/100))*10</f>
        <v>887.60699999999997</v>
      </c>
      <c r="G6" s="1">
        <f>(14.94*(657/100))*10</f>
        <v>981.55799999999999</v>
      </c>
      <c r="H6" s="1">
        <f>(37.47*(657/100))*10</f>
        <v>2461.779</v>
      </c>
      <c r="I6" s="1">
        <f>(24.09*(657/100))*10</f>
        <v>1582.713</v>
      </c>
      <c r="J6" s="1">
        <f>(11.4*(657/100))*10</f>
        <v>748.98000000000013</v>
      </c>
      <c r="K6" s="1">
        <f>(3.15*(657/100))*10</f>
        <v>206.95499999999998</v>
      </c>
      <c r="L6" s="1">
        <f>(2.41*(657/100))*10</f>
        <v>158.33700000000002</v>
      </c>
      <c r="M6" s="1">
        <f>(2.34*(657/100))*10</f>
        <v>153.738</v>
      </c>
      <c r="N6" s="1">
        <f>(1.99*(657/100))*10</f>
        <v>130.74299999999999</v>
      </c>
    </row>
    <row r="7" spans="1:14" x14ac:dyDescent="0.25">
      <c r="A7">
        <v>123456</v>
      </c>
      <c r="B7">
        <v>1925</v>
      </c>
      <c r="C7" s="1">
        <f>(4.19*(657/100))*10</f>
        <v>275.28300000000007</v>
      </c>
      <c r="D7" s="1">
        <f>(11.03*(657/100))*10</f>
        <v>724.67100000000005</v>
      </c>
      <c r="E7" s="1">
        <f>(11.07*(657/100))*10</f>
        <v>727.29899999999998</v>
      </c>
      <c r="F7" s="1">
        <f>(10.11*(657/100))*10</f>
        <v>664.22700000000009</v>
      </c>
      <c r="G7" s="1">
        <f>(10.12*(657/100))*10</f>
        <v>664.88400000000001</v>
      </c>
      <c r="H7" s="1">
        <f>(21.01*(657/100))*10</f>
        <v>1380.3570000000002</v>
      </c>
      <c r="I7" s="1">
        <f>(4.2*(657/100))*10</f>
        <v>275.94</v>
      </c>
      <c r="J7" s="1">
        <f>(2.67*(657/100))*10</f>
        <v>175.41900000000001</v>
      </c>
      <c r="K7" s="1">
        <f>(1.87*(657/100))*10</f>
        <v>122.85900000000001</v>
      </c>
      <c r="L7" s="1">
        <f>(0.51*(657/100))*10</f>
        <v>33.507000000000005</v>
      </c>
      <c r="M7" s="1">
        <f>(0.03*(657/100))*10</f>
        <v>1.9710000000000001</v>
      </c>
      <c r="N7" s="1">
        <f>(4.55*(657/100))*10</f>
        <v>298.935</v>
      </c>
    </row>
    <row r="8" spans="1:14" x14ac:dyDescent="0.25">
      <c r="A8">
        <v>123456</v>
      </c>
      <c r="B8">
        <v>1926</v>
      </c>
      <c r="C8" s="1">
        <f>(4.83*(657/100))*10</f>
        <v>317.33100000000002</v>
      </c>
      <c r="D8" s="1">
        <f>(12.31*(657/100))*10</f>
        <v>808.76700000000017</v>
      </c>
      <c r="E8" s="1">
        <f>(8.89*(657/100))*10</f>
        <v>584.07300000000009</v>
      </c>
      <c r="F8" s="1">
        <f>(8.88*(657/100))*10</f>
        <v>583.41600000000005</v>
      </c>
      <c r="G8" s="1">
        <f>(9.04*(657/100))*10</f>
        <v>593.92799999999988</v>
      </c>
      <c r="H8" s="1">
        <f>(24.51*(657/100))*10</f>
        <v>1610.3070000000002</v>
      </c>
      <c r="I8" s="1">
        <f>(2.76*(657/100))*10</f>
        <v>181.33199999999999</v>
      </c>
      <c r="J8" s="1">
        <f>(1.67*(657/100))*10</f>
        <v>109.71899999999999</v>
      </c>
      <c r="K8" s="1">
        <f>(0*(657/100))*10</f>
        <v>0</v>
      </c>
      <c r="L8" s="1">
        <f>(1.88*(657/100))*10</f>
        <v>123.51599999999999</v>
      </c>
      <c r="M8" s="1">
        <f>(2.2*(657/100))*10</f>
        <v>144.54000000000002</v>
      </c>
      <c r="N8" s="1">
        <f>(1.25*(657/100))*10</f>
        <v>82.125</v>
      </c>
    </row>
    <row r="9" spans="1:14" x14ac:dyDescent="0.25">
      <c r="A9">
        <v>123456</v>
      </c>
      <c r="B9">
        <v>1927</v>
      </c>
      <c r="C9" s="1">
        <f>(8.16*(657/100))*10</f>
        <v>536.11200000000008</v>
      </c>
      <c r="D9" s="1">
        <f>(8.56*(657/100))*10</f>
        <v>562.39200000000005</v>
      </c>
      <c r="E9" s="1">
        <f>(21.97*(657/100))*10</f>
        <v>1443.4289999999999</v>
      </c>
      <c r="F9" s="1">
        <f>(18.07*(657/100))*10</f>
        <v>1187.1990000000001</v>
      </c>
      <c r="G9" s="1">
        <f>(11.02*(657/100))*10</f>
        <v>724.0139999999999</v>
      </c>
      <c r="H9" s="1">
        <f>(12.62*(657/100))*10</f>
        <v>829.13400000000001</v>
      </c>
      <c r="I9" s="1">
        <f>(3.82*(657/100))*10</f>
        <v>250.97399999999999</v>
      </c>
      <c r="J9" s="1">
        <f>(0.34*(657/100))*10</f>
        <v>22.338000000000005</v>
      </c>
      <c r="K9" s="1">
        <f>(0.24*(657/100))*10</f>
        <v>15.768000000000001</v>
      </c>
      <c r="L9" s="1">
        <f>(0.44*(657/100))*10</f>
        <v>28.908000000000001</v>
      </c>
      <c r="M9" s="1">
        <f>(1.42*(657/100))*10</f>
        <v>93.293999999999997</v>
      </c>
      <c r="N9" s="1">
        <f>(5.68*(657/100))*10</f>
        <v>373.17599999999999</v>
      </c>
    </row>
    <row r="10" spans="1:14" x14ac:dyDescent="0.25">
      <c r="A10">
        <v>123456</v>
      </c>
      <c r="B10">
        <v>1928</v>
      </c>
      <c r="C10" s="1">
        <f>(8.52*(657/100))*10</f>
        <v>559.76400000000001</v>
      </c>
      <c r="D10" s="1">
        <f>(22.42*(657/100))*10</f>
        <v>1472.9940000000001</v>
      </c>
      <c r="E10" s="1">
        <f>(14.57*(657/100))*10</f>
        <v>957.24900000000002</v>
      </c>
      <c r="F10" s="1">
        <f>(15.32*(657/100))*10</f>
        <v>1006.524</v>
      </c>
      <c r="G10" s="1">
        <f>(3.54*(657/100))*10</f>
        <v>232.578</v>
      </c>
      <c r="H10" s="1">
        <f>(16*(657/100))*10</f>
        <v>1051.2</v>
      </c>
      <c r="I10" s="1">
        <f>(0.82*(657/100))*10</f>
        <v>53.873999999999995</v>
      </c>
      <c r="J10" s="1">
        <f>(6.73*(657/100))*10</f>
        <v>442.16100000000006</v>
      </c>
      <c r="K10" s="1">
        <f>(6.66*(657/100))*10</f>
        <v>437.56200000000001</v>
      </c>
      <c r="L10" s="1">
        <f>(7.28*(657/100))*10</f>
        <v>478.29600000000005</v>
      </c>
      <c r="M10" s="1">
        <f>(1.19*(657/100))*10</f>
        <v>78.182999999999993</v>
      </c>
      <c r="N10" s="1">
        <f>(26.77*(657/100))*10</f>
        <v>1758.7890000000002</v>
      </c>
    </row>
    <row r="11" spans="1:14" x14ac:dyDescent="0.25">
      <c r="A11">
        <v>123456</v>
      </c>
      <c r="B11">
        <v>1929</v>
      </c>
      <c r="C11" s="1">
        <f>(7.04*(657/100))*10</f>
        <v>462.52800000000002</v>
      </c>
      <c r="D11" s="1">
        <f>(9.5*(657/100))*10</f>
        <v>624.15000000000009</v>
      </c>
      <c r="E11" s="1">
        <f>(20*(657/100))*10</f>
        <v>1314</v>
      </c>
      <c r="F11" s="1">
        <f>(16.1*(657/100))*10</f>
        <v>1057.7700000000002</v>
      </c>
      <c r="G11" s="1">
        <f>(8.68*(657/100))*10</f>
        <v>570.27599999999995</v>
      </c>
      <c r="H11" s="1">
        <f>(14.53*(657/100))*10</f>
        <v>954.62100000000009</v>
      </c>
      <c r="I11" s="1">
        <f>(8.48*(657/100))*10</f>
        <v>557.13600000000008</v>
      </c>
      <c r="J11" s="1">
        <f>(3.41*(657/100))*10</f>
        <v>224.03700000000001</v>
      </c>
      <c r="K11" s="1">
        <f>(1.69*(657/100))*10</f>
        <v>111.03300000000002</v>
      </c>
      <c r="L11" s="1">
        <f>(0.19*(657/100))*10</f>
        <v>12.483000000000001</v>
      </c>
      <c r="M11" s="1">
        <f>(13.45*(657/100))*10</f>
        <v>883.66499999999996</v>
      </c>
      <c r="N11" s="1">
        <f>(0.66*(657/100))*10</f>
        <v>43.362000000000009</v>
      </c>
    </row>
    <row r="12" spans="1:14" x14ac:dyDescent="0.25">
      <c r="A12">
        <v>123456</v>
      </c>
      <c r="B12">
        <v>1930</v>
      </c>
      <c r="C12" s="1">
        <f>(8.38*(657/100))*10</f>
        <v>550.56600000000014</v>
      </c>
      <c r="D12" s="1">
        <f>(3.74*(657/100))*10</f>
        <v>245.71800000000002</v>
      </c>
      <c r="E12" s="1">
        <f>(9.85*(657/100))*10</f>
        <v>647.14499999999998</v>
      </c>
      <c r="F12" s="1">
        <f>(15.44*(657/100))*10</f>
        <v>1014.4079999999999</v>
      </c>
      <c r="G12" s="1">
        <f>(14.56*(657/100))*10</f>
        <v>956.5920000000001</v>
      </c>
      <c r="H12" s="1">
        <f>(17.41*(657/100))*10</f>
        <v>1143.837</v>
      </c>
      <c r="I12" s="1">
        <f>(11.75*(657/100))*10</f>
        <v>771.97500000000002</v>
      </c>
      <c r="J12" s="1">
        <f>(0.24*(657/100))*10</f>
        <v>15.768000000000001</v>
      </c>
      <c r="K12" s="1">
        <f>(0.19*(657/100))*10</f>
        <v>12.483000000000001</v>
      </c>
      <c r="L12" s="1">
        <f>(15.32*(657/100))*10</f>
        <v>1006.524</v>
      </c>
      <c r="M12" s="1">
        <f>(0.4*(657/100))*10</f>
        <v>26.28</v>
      </c>
      <c r="N12" s="1">
        <f>(0.07*(657/100))*10</f>
        <v>4.5990000000000011</v>
      </c>
    </row>
    <row r="13" spans="1:14" x14ac:dyDescent="0.25">
      <c r="A13">
        <v>123456</v>
      </c>
      <c r="B13">
        <v>1931</v>
      </c>
      <c r="C13" s="1">
        <f>(12.81*(657/100))*10</f>
        <v>841.61700000000008</v>
      </c>
      <c r="D13" s="1">
        <f>(12.72*(657/100))*10</f>
        <v>835.70400000000006</v>
      </c>
      <c r="E13" s="1">
        <f>(17.44*(657/100))*10</f>
        <v>1145.808</v>
      </c>
      <c r="F13" s="1">
        <f>(7.63*(657/100))*10</f>
        <v>501.291</v>
      </c>
      <c r="G13" s="1">
        <f>(14.42*(657/100))*10</f>
        <v>947.39400000000001</v>
      </c>
      <c r="H13" s="1">
        <f>(7.19*(657/100))*10</f>
        <v>472.38300000000004</v>
      </c>
      <c r="I13" s="1">
        <f>(1.75*(657/100))*10</f>
        <v>114.97500000000001</v>
      </c>
      <c r="J13" s="1">
        <f>(1.51*(657/100))*10</f>
        <v>99.206999999999994</v>
      </c>
      <c r="K13" s="1">
        <f>(0.84*(657/100))*10</f>
        <v>55.187999999999995</v>
      </c>
      <c r="L13" s="1">
        <f>(2.11*(657/100))*10</f>
        <v>138.62700000000001</v>
      </c>
      <c r="M13" s="1">
        <f>(0.01*(657/100))*10</f>
        <v>0.65700000000000003</v>
      </c>
      <c r="N13" s="1">
        <f>(11.3*(657/100))*10</f>
        <v>742.41000000000008</v>
      </c>
    </row>
    <row r="14" spans="1:14" x14ac:dyDescent="0.25">
      <c r="A14">
        <v>123456</v>
      </c>
      <c r="B14">
        <v>1932</v>
      </c>
      <c r="C14" s="1">
        <f>(2.41*(657/100))*10</f>
        <v>158.33700000000002</v>
      </c>
      <c r="D14" s="1">
        <f>(7.71*(657/100))*10</f>
        <v>506.54700000000003</v>
      </c>
      <c r="E14" s="1">
        <f>(7.07*(657/100))*10</f>
        <v>464.49900000000008</v>
      </c>
      <c r="F14" s="1">
        <f>(5.93*(657/100))*10</f>
        <v>389.601</v>
      </c>
      <c r="G14" s="1">
        <f>(6.83*(657/100))*10</f>
        <v>448.73099999999999</v>
      </c>
      <c r="H14" s="1">
        <f>(13.82*(657/100))*10</f>
        <v>907.97400000000016</v>
      </c>
      <c r="I14" s="1">
        <f>(6.34*(657/100))*10</f>
        <v>416.53800000000001</v>
      </c>
      <c r="J14" s="1">
        <f>(0.52*(657/100))*10</f>
        <v>34.164000000000001</v>
      </c>
      <c r="K14" s="1">
        <f>(1.79*(657/100))*10</f>
        <v>117.60300000000001</v>
      </c>
      <c r="L14" s="1">
        <f>(0.45*(657/100))*10</f>
        <v>29.565000000000001</v>
      </c>
      <c r="M14" s="1">
        <f>(2.05*(657/100))*10</f>
        <v>134.685</v>
      </c>
      <c r="N14" s="1">
        <f>(1.78*(657/100))*10</f>
        <v>116.94600000000001</v>
      </c>
    </row>
    <row r="15" spans="1:14" x14ac:dyDescent="0.25">
      <c r="A15">
        <v>123456</v>
      </c>
      <c r="B15">
        <v>1933</v>
      </c>
      <c r="C15" s="1">
        <f>(0.42*(657/100))*10</f>
        <v>27.593999999999998</v>
      </c>
      <c r="D15" s="1">
        <f>(26.51*(657/100))*10</f>
        <v>1741.7070000000001</v>
      </c>
      <c r="E15" s="1">
        <f>(26.02*(657/100))*10</f>
        <v>1709.5140000000001</v>
      </c>
      <c r="F15" s="1">
        <f>(26.1*(657/100))*10</f>
        <v>1714.77</v>
      </c>
      <c r="G15" s="1">
        <f>(9.71*(657/100))*10</f>
        <v>637.94700000000012</v>
      </c>
      <c r="H15" s="1">
        <f>(18.63*(657/100))*10</f>
        <v>1223.991</v>
      </c>
      <c r="I15" s="1">
        <f>(9.34*(657/100))*10</f>
        <v>613.63800000000003</v>
      </c>
      <c r="J15" s="1">
        <f>(5.28*(657/100))*10</f>
        <v>346.89600000000007</v>
      </c>
      <c r="K15" s="1">
        <f>(0.32*(657/100))*10</f>
        <v>21.024000000000001</v>
      </c>
      <c r="L15" s="1">
        <f>(4.77*(657/100))*10</f>
        <v>313.38900000000001</v>
      </c>
      <c r="M15" s="1">
        <f>(0.28*(657/100))*10</f>
        <v>18.396000000000004</v>
      </c>
      <c r="N15" s="1">
        <f>(0.61*(657/100))*10</f>
        <v>40.076999999999998</v>
      </c>
    </row>
    <row r="16" spans="1:14" x14ac:dyDescent="0.25">
      <c r="A16">
        <v>123456</v>
      </c>
      <c r="B16">
        <v>1934</v>
      </c>
      <c r="C16" s="1">
        <f>(13.51*(657/100))*10</f>
        <v>887.60699999999997</v>
      </c>
      <c r="D16" s="1">
        <f>(17.97*(657/100))*10</f>
        <v>1180.6289999999999</v>
      </c>
      <c r="E16" s="1">
        <f>(17.02*(657/100))*10</f>
        <v>1118.2139999999999</v>
      </c>
      <c r="F16" s="1">
        <f>(8.91*(657/100))*10</f>
        <v>585.38700000000006</v>
      </c>
      <c r="G16" s="1">
        <f>(11.26*(657/100))*10</f>
        <v>739.78200000000004</v>
      </c>
      <c r="H16" s="1">
        <f>(18.35*(657/100))*10</f>
        <v>1205.5950000000003</v>
      </c>
      <c r="I16" s="1">
        <f>(8.36*(657/100))*10</f>
        <v>549.25199999999995</v>
      </c>
      <c r="J16" s="1">
        <f>(11.3*(657/100))*10</f>
        <v>742.41000000000008</v>
      </c>
      <c r="K16" s="1">
        <f>(0.52*(657/100))*10</f>
        <v>34.164000000000001</v>
      </c>
      <c r="L16" s="1">
        <f>(0.68*(657/100))*10</f>
        <v>44.676000000000009</v>
      </c>
      <c r="M16" s="1">
        <f>(8.87*(657/100))*10</f>
        <v>582.75900000000001</v>
      </c>
      <c r="N16" s="1">
        <f>(1.21*(657/100))*10</f>
        <v>79.497</v>
      </c>
    </row>
    <row r="17" spans="1:14" x14ac:dyDescent="0.25">
      <c r="A17">
        <v>123456</v>
      </c>
      <c r="B17">
        <v>1935</v>
      </c>
      <c r="C17" s="1">
        <f>(4.91*(657/100))*10</f>
        <v>322.58700000000005</v>
      </c>
      <c r="D17" s="1">
        <f>(13.43*(657/100))*10</f>
        <v>882.351</v>
      </c>
      <c r="E17" s="1">
        <f>(6.94*(657/100))*10</f>
        <v>455.95800000000003</v>
      </c>
      <c r="F17" s="1">
        <f>(7.26*(657/100))*10</f>
        <v>476.98199999999997</v>
      </c>
      <c r="G17" s="1">
        <f>(11.86*(657/100))*10</f>
        <v>779.202</v>
      </c>
      <c r="H17" s="1">
        <f>(10.39*(657/100))*10</f>
        <v>682.62300000000005</v>
      </c>
      <c r="I17" s="1">
        <f>(6.24*(657/100))*10</f>
        <v>409.96800000000002</v>
      </c>
      <c r="J17" s="1">
        <f>(7.58*(657/100))*10</f>
        <v>498.00600000000003</v>
      </c>
      <c r="K17" s="1">
        <f>(1.19*(657/100))*10</f>
        <v>78.182999999999993</v>
      </c>
      <c r="L17" s="1">
        <f>(4.77*(657/100))*10</f>
        <v>313.38900000000001</v>
      </c>
      <c r="M17" s="1">
        <f>(0.08*(657/100))*10</f>
        <v>5.2560000000000002</v>
      </c>
      <c r="N17" s="1">
        <f>(3.47*(657/100))*10</f>
        <v>227.97900000000001</v>
      </c>
    </row>
    <row r="18" spans="1:14" x14ac:dyDescent="0.25">
      <c r="A18">
        <v>123456</v>
      </c>
      <c r="B18">
        <v>1936</v>
      </c>
      <c r="C18" s="1">
        <f>(11.06*(657/100))*10</f>
        <v>726.64200000000005</v>
      </c>
      <c r="D18" s="1">
        <f>(22.4*(657/100))*10</f>
        <v>1471.68</v>
      </c>
      <c r="E18" s="1">
        <f>(13.91*(657/100))*10</f>
        <v>913.88699999999994</v>
      </c>
      <c r="F18" s="1">
        <f>(21.66*(657/100))*10</f>
        <v>1423.0620000000001</v>
      </c>
      <c r="G18" s="1">
        <f>(11.27*(657/100))*10</f>
        <v>740.43899999999996</v>
      </c>
      <c r="H18" s="1">
        <f>(9.64*(657/100))*10</f>
        <v>633.34800000000007</v>
      </c>
      <c r="I18" s="1">
        <f>(1.55*(657/100))*10</f>
        <v>101.83500000000001</v>
      </c>
      <c r="J18" s="1">
        <f>(6.43*(657/100))*10</f>
        <v>422.45100000000002</v>
      </c>
      <c r="K18" s="1">
        <f>(0.44*(657/100))*10</f>
        <v>28.908000000000001</v>
      </c>
      <c r="L18" s="1">
        <f>(2.68*(657/100))*10</f>
        <v>176.07600000000002</v>
      </c>
      <c r="M18" s="1">
        <f>(1.71*(657/100))*10</f>
        <v>112.34700000000001</v>
      </c>
      <c r="N18" s="1">
        <f>(0.29*(657/100))*10</f>
        <v>19.053000000000001</v>
      </c>
    </row>
    <row r="19" spans="1:14" x14ac:dyDescent="0.25">
      <c r="A19">
        <v>123456</v>
      </c>
      <c r="B19">
        <v>1937</v>
      </c>
      <c r="C19" s="1">
        <f>(5.64*(657/100))*10</f>
        <v>370.548</v>
      </c>
      <c r="D19" s="1">
        <f>(5.06*(657/100))*10</f>
        <v>332.44200000000001</v>
      </c>
      <c r="E19" s="1">
        <f>(16.21*(657/100))*10</f>
        <v>1064.9970000000001</v>
      </c>
      <c r="F19" s="1">
        <f>(11.59*(657/100))*10</f>
        <v>761.46299999999997</v>
      </c>
      <c r="G19" s="1">
        <f>(23.14*(657/100))*10</f>
        <v>1520.2980000000002</v>
      </c>
      <c r="H19" s="1">
        <f>(6.68*(657/100))*10</f>
        <v>438.87599999999998</v>
      </c>
      <c r="I19" s="1">
        <f>(11.07*(657/100))*10</f>
        <v>727.29899999999998</v>
      </c>
      <c r="J19" s="1">
        <f>(2.76*(657/100))*10</f>
        <v>181.33199999999999</v>
      </c>
      <c r="K19" s="1">
        <f>(4.55*(657/100))*10</f>
        <v>298.935</v>
      </c>
      <c r="L19" s="1">
        <f>(2.17*(657/100))*10</f>
        <v>142.56899999999999</v>
      </c>
      <c r="M19" s="1">
        <f>(3.65*(657/100))*10</f>
        <v>239.80500000000001</v>
      </c>
      <c r="N19" s="1">
        <f>(1.36*(657/100))*10</f>
        <v>89.352000000000018</v>
      </c>
    </row>
    <row r="20" spans="1:14" x14ac:dyDescent="0.25">
      <c r="A20">
        <v>123456</v>
      </c>
      <c r="B20">
        <v>1938</v>
      </c>
      <c r="C20" s="1">
        <f>(14.62*(657/100))*10</f>
        <v>960.53399999999999</v>
      </c>
      <c r="D20" s="1">
        <f>(14.28*(657/100))*10</f>
        <v>938.19599999999991</v>
      </c>
      <c r="E20" s="1">
        <f>(14.19*(657/100))*10</f>
        <v>932.28300000000002</v>
      </c>
      <c r="F20" s="1">
        <f>(17.12*(657/100))*10</f>
        <v>1124.7840000000001</v>
      </c>
      <c r="G20" s="1">
        <f>(24.12*(657/100))*10</f>
        <v>1584.684</v>
      </c>
      <c r="H20" s="1">
        <f>(3.77*(657/100))*10</f>
        <v>247.68900000000002</v>
      </c>
      <c r="I20" s="1">
        <f>(5.44*(657/100))*10</f>
        <v>357.40800000000007</v>
      </c>
      <c r="J20" s="1">
        <f>(5.97*(657/100))*10</f>
        <v>392.22900000000004</v>
      </c>
      <c r="K20" s="1">
        <f>(0.65*(657/100))*10</f>
        <v>42.704999999999998</v>
      </c>
      <c r="L20" s="1">
        <f>(4.27*(657/100))*10</f>
        <v>280.53899999999999</v>
      </c>
      <c r="M20" s="1">
        <f>(5.64*(657/100))*10</f>
        <v>370.548</v>
      </c>
      <c r="N20" s="1">
        <f>(6.55*(657/100))*10</f>
        <v>430.33500000000004</v>
      </c>
    </row>
    <row r="21" spans="1:14" x14ac:dyDescent="0.25">
      <c r="A21">
        <v>123456</v>
      </c>
      <c r="B21">
        <v>1939</v>
      </c>
      <c r="C21" s="1">
        <f>(12.56*(657/100))*10</f>
        <v>825.19200000000012</v>
      </c>
      <c r="D21" s="1">
        <f>(7.24*(657/100))*10</f>
        <v>475.66800000000001</v>
      </c>
      <c r="E21" s="1">
        <f>(5.78*(657/100))*10</f>
        <v>379.74600000000004</v>
      </c>
      <c r="F21" s="1">
        <f>(5.59*(657/100))*10</f>
        <v>367.26300000000003</v>
      </c>
      <c r="G21" s="1">
        <f>(17.76*(657/100))*10</f>
        <v>1166.8320000000001</v>
      </c>
      <c r="H21" s="1">
        <f>(20.98*(657/100))*10</f>
        <v>1378.3860000000002</v>
      </c>
      <c r="I21" s="1">
        <f>(8.23*(657/100))*10</f>
        <v>540.71100000000013</v>
      </c>
      <c r="J21" s="1">
        <f>(10.16*(657/100))*10</f>
        <v>667.51199999999994</v>
      </c>
      <c r="K21" s="1">
        <f>(0.37*(657/100))*10</f>
        <v>24.309000000000005</v>
      </c>
      <c r="L21" s="1">
        <f>(1.72*(657/100))*10</f>
        <v>113.00399999999999</v>
      </c>
      <c r="M21" s="1">
        <f>(0.68*(657/100))*10</f>
        <v>44.676000000000009</v>
      </c>
      <c r="N21" s="1">
        <f>(11.57*(657/100))*10</f>
        <v>760.14900000000011</v>
      </c>
    </row>
    <row r="22" spans="1:14" x14ac:dyDescent="0.25">
      <c r="A22">
        <v>123456</v>
      </c>
      <c r="B22">
        <v>1940</v>
      </c>
      <c r="C22" s="1">
        <f>(1.89*(657/100))*10</f>
        <v>124.17299999999999</v>
      </c>
      <c r="D22" s="1">
        <f>(13.73*(657/100))*10</f>
        <v>902.06100000000004</v>
      </c>
      <c r="E22" s="1">
        <f>(13.54*(657/100))*10</f>
        <v>889.57799999999997</v>
      </c>
      <c r="F22" s="1">
        <f>(17.62*(657/100))*10</f>
        <v>1157.6340000000002</v>
      </c>
      <c r="G22" s="1">
        <f>(24.28*(657/100))*10</f>
        <v>1595.1960000000004</v>
      </c>
      <c r="H22" s="1">
        <f>(6.08*(657/100))*10</f>
        <v>399.45600000000002</v>
      </c>
      <c r="I22" s="1">
        <f>(12.56*(657/100))*10</f>
        <v>825.19200000000012</v>
      </c>
      <c r="J22" s="1">
        <f>(3.33*(657/100))*10</f>
        <v>218.78100000000001</v>
      </c>
      <c r="K22" s="1">
        <f>(1.05*(657/100))*10</f>
        <v>68.984999999999999</v>
      </c>
      <c r="L22" s="1">
        <f>(2.27*(657/100))*10</f>
        <v>149.13900000000001</v>
      </c>
      <c r="M22" s="1">
        <f>(2.59*(657/100))*10</f>
        <v>170.16300000000001</v>
      </c>
      <c r="N22" s="1">
        <f>(3.58*(657/100))*10</f>
        <v>235.20600000000002</v>
      </c>
    </row>
    <row r="23" spans="1:14" x14ac:dyDescent="0.25">
      <c r="A23">
        <v>123456</v>
      </c>
      <c r="B23">
        <v>1941</v>
      </c>
      <c r="C23" s="1">
        <f>(10.58*(657/100))*10</f>
        <v>695.10599999999999</v>
      </c>
      <c r="D23" s="1">
        <f>(0.74*(657/100))*10</f>
        <v>48.618000000000009</v>
      </c>
      <c r="E23" s="1">
        <f>(1.92*(657/100))*10</f>
        <v>126.14400000000001</v>
      </c>
      <c r="F23" s="1">
        <f>(19.55*(657/100))*10</f>
        <v>1284.4349999999999</v>
      </c>
      <c r="G23" s="1">
        <f>(16.51*(657/100))*10</f>
        <v>1084.7070000000001</v>
      </c>
      <c r="H23" s="1">
        <f>(17.9*(657/100))*10</f>
        <v>1176.03</v>
      </c>
      <c r="I23" s="1">
        <f>(6.53*(657/100))*10</f>
        <v>429.02100000000007</v>
      </c>
      <c r="J23" s="1">
        <f>(2.46*(657/100))*10</f>
        <v>161.62200000000001</v>
      </c>
      <c r="K23" s="1">
        <f>(1.33*(657/100))*10</f>
        <v>87.381000000000014</v>
      </c>
      <c r="L23" s="1">
        <f>(0*(657/100))*10</f>
        <v>0</v>
      </c>
      <c r="M23" s="1">
        <f>(9.96*(657/100))*10</f>
        <v>654.37200000000007</v>
      </c>
      <c r="N23" s="1">
        <f>(5.8*(657/100))*10</f>
        <v>381.06</v>
      </c>
    </row>
    <row r="24" spans="1:14" x14ac:dyDescent="0.25">
      <c r="A24">
        <v>123456</v>
      </c>
      <c r="B24">
        <v>1942</v>
      </c>
      <c r="C24" s="1">
        <f>(13.51*(657/100))*10</f>
        <v>887.60699999999997</v>
      </c>
      <c r="D24" s="1">
        <f>(15.64*(657/100))*10</f>
        <v>1027.548</v>
      </c>
      <c r="E24" s="1">
        <f>(22.68*(657/100))*10</f>
        <v>1490.076</v>
      </c>
      <c r="F24" s="1">
        <f>(7.01*(657/100))*10</f>
        <v>460.55700000000002</v>
      </c>
      <c r="G24" s="1">
        <f>(6.63*(657/100))*10</f>
        <v>435.59100000000001</v>
      </c>
      <c r="H24" s="1">
        <f>(11.15*(657/100))*10</f>
        <v>732.55500000000006</v>
      </c>
      <c r="I24" s="1">
        <f>(17.81*(657/100))*10</f>
        <v>1170.117</v>
      </c>
      <c r="J24" s="1">
        <f>(12.97*(657/100))*10</f>
        <v>852.12900000000002</v>
      </c>
      <c r="K24" s="1">
        <f>(1.71*(657/100))*10</f>
        <v>112.34700000000001</v>
      </c>
      <c r="L24" s="1">
        <f>(0.35*(657/100))*10</f>
        <v>22.995000000000001</v>
      </c>
      <c r="M24" s="1">
        <f>(8.29*(657/100))*10</f>
        <v>544.65300000000002</v>
      </c>
      <c r="N24" s="1">
        <f>(2.71*(657/100))*10</f>
        <v>178.047</v>
      </c>
    </row>
    <row r="25" spans="1:14" x14ac:dyDescent="0.25">
      <c r="A25">
        <v>123456</v>
      </c>
      <c r="B25">
        <v>1943</v>
      </c>
      <c r="C25" s="1">
        <f>(7.97*(657/100))*10</f>
        <v>523.62900000000002</v>
      </c>
      <c r="D25" s="1">
        <f>(30.54*(657/100))*10</f>
        <v>2006.4779999999998</v>
      </c>
      <c r="E25" s="1">
        <f>(18.05*(657/100))*10</f>
        <v>1185.8850000000002</v>
      </c>
      <c r="F25" s="1">
        <f>(11.04*(657/100))*10</f>
        <v>725.32799999999997</v>
      </c>
      <c r="G25" s="1">
        <f>(9.47*(657/100))*10</f>
        <v>622.17900000000009</v>
      </c>
      <c r="H25" s="1">
        <f>(20.64*(657/100))*10</f>
        <v>1356.0480000000002</v>
      </c>
      <c r="I25" s="1">
        <f>(3.47*(657/100))*10</f>
        <v>227.97900000000001</v>
      </c>
      <c r="J25" s="1">
        <f>(6.96*(657/100))*10</f>
        <v>457.27200000000005</v>
      </c>
      <c r="K25" s="1">
        <f>(4.06*(657/100))*10</f>
        <v>266.74199999999996</v>
      </c>
      <c r="L25" s="1">
        <f>(0.28*(657/100))*10</f>
        <v>18.396000000000004</v>
      </c>
      <c r="M25" s="1">
        <f>(0.08*(657/100))*10</f>
        <v>5.2560000000000002</v>
      </c>
      <c r="N25" s="1">
        <f>(15.86*(657/100))*10</f>
        <v>1042.002</v>
      </c>
    </row>
    <row r="26" spans="1:14" x14ac:dyDescent="0.25">
      <c r="A26">
        <v>123456</v>
      </c>
      <c r="B26">
        <v>1944</v>
      </c>
      <c r="C26" s="1">
        <f>(7.74*(657/100))*10</f>
        <v>508.51800000000003</v>
      </c>
      <c r="D26" s="1">
        <f>(4.15*(657/100))*10</f>
        <v>272.65500000000003</v>
      </c>
      <c r="E26" s="1">
        <f>(0.74*(657/100))*10</f>
        <v>48.618000000000009</v>
      </c>
      <c r="F26" s="1">
        <f>(6.55*(657/100))*10</f>
        <v>430.33500000000004</v>
      </c>
      <c r="G26" s="1">
        <f>(14.39*(657/100))*10</f>
        <v>945.42300000000012</v>
      </c>
      <c r="H26" s="1">
        <f>(15.01*(657/100))*10</f>
        <v>986.15700000000004</v>
      </c>
      <c r="I26" s="1">
        <f>(5.53*(657/100))*10</f>
        <v>363.32100000000003</v>
      </c>
      <c r="J26" s="1">
        <f>(5.11*(657/100))*10</f>
        <v>335.72700000000003</v>
      </c>
      <c r="K26" s="1">
        <f>(0.74*(657/100))*10</f>
        <v>48.618000000000009</v>
      </c>
      <c r="L26" s="1">
        <f>(0.18*(657/100))*10</f>
        <v>11.826000000000001</v>
      </c>
      <c r="M26" s="1">
        <f>(0.02*(657/100))*10</f>
        <v>1.3140000000000001</v>
      </c>
      <c r="N26" s="1">
        <f>(0.05*(657/100))*10</f>
        <v>3.2850000000000001</v>
      </c>
    </row>
    <row r="27" spans="1:14" x14ac:dyDescent="0.25">
      <c r="A27">
        <v>123456</v>
      </c>
      <c r="B27">
        <v>1945</v>
      </c>
      <c r="C27" s="1">
        <f>(4.22*(657/100))*10</f>
        <v>277.25400000000002</v>
      </c>
      <c r="D27" s="1">
        <f>(7.54*(657/100))*10</f>
        <v>495.37800000000004</v>
      </c>
      <c r="E27" s="1">
        <f>(13.07*(657/100))*10</f>
        <v>858.69900000000007</v>
      </c>
      <c r="F27" s="1">
        <f>(20.8*(657/100))*10</f>
        <v>1366.56</v>
      </c>
      <c r="G27" s="1">
        <f>(9.34*(657/100))*10</f>
        <v>613.63800000000003</v>
      </c>
      <c r="H27" s="1">
        <f>(12.15*(657/100))*10</f>
        <v>798.25500000000011</v>
      </c>
      <c r="I27" s="1">
        <f>(11.35*(657/100))*10</f>
        <v>745.69500000000005</v>
      </c>
      <c r="J27" s="1">
        <f>(15.44*(657/100))*10</f>
        <v>1014.4079999999999</v>
      </c>
      <c r="K27" s="1">
        <f>(1.16*(657/100))*10</f>
        <v>76.212000000000003</v>
      </c>
      <c r="L27" s="1">
        <f>(0.47*(657/100))*10</f>
        <v>30.878999999999998</v>
      </c>
      <c r="M27" s="1">
        <f>(0.17*(657/100))*10</f>
        <v>11.169000000000002</v>
      </c>
      <c r="N27" s="1">
        <f>(1.6*(657/100))*10</f>
        <v>105.12</v>
      </c>
    </row>
    <row r="28" spans="1:14" x14ac:dyDescent="0.25">
      <c r="A28">
        <v>123456</v>
      </c>
      <c r="B28">
        <v>1946</v>
      </c>
      <c r="C28" s="1">
        <f>(12.4*(657/100))*10</f>
        <v>814.68000000000006</v>
      </c>
      <c r="D28" s="1">
        <f>(8.29*(657/100))*10</f>
        <v>544.65300000000002</v>
      </c>
      <c r="E28" s="1">
        <f>(7.63*(657/100))*10</f>
        <v>501.291</v>
      </c>
      <c r="F28" s="1">
        <f>(9.34*(657/100))*10</f>
        <v>613.63800000000003</v>
      </c>
      <c r="G28" s="1">
        <f>(13.87*(657/100))*10</f>
        <v>911.25900000000001</v>
      </c>
      <c r="H28" s="1">
        <f>(6.57*(657/100))*10</f>
        <v>431.649</v>
      </c>
      <c r="I28" s="1">
        <f>(7.35*(657/100))*10</f>
        <v>482.89499999999998</v>
      </c>
      <c r="J28" s="1">
        <f>(5.94*(657/100))*10</f>
        <v>390.25800000000004</v>
      </c>
      <c r="K28" s="1">
        <f>(1.61*(657/100))*10</f>
        <v>105.77700000000002</v>
      </c>
      <c r="L28" s="1">
        <f>(2.9*(657/100))*10</f>
        <v>190.53</v>
      </c>
      <c r="M28" s="1">
        <f>(2.36*(657/100))*10</f>
        <v>155.05199999999999</v>
      </c>
      <c r="N28" s="1">
        <f>(8.32*(657/100))*10</f>
        <v>546.62400000000002</v>
      </c>
    </row>
    <row r="29" spans="1:14" x14ac:dyDescent="0.25">
      <c r="A29">
        <v>123456</v>
      </c>
      <c r="B29">
        <v>1947</v>
      </c>
      <c r="C29" s="1">
        <f>(8.56*(657/100))*10</f>
        <v>562.39200000000005</v>
      </c>
      <c r="D29" s="1">
        <f>(13.51*(657/100))*10</f>
        <v>887.60699999999997</v>
      </c>
      <c r="E29" s="1">
        <f>(20.41*(657/100))*10</f>
        <v>1340.9370000000001</v>
      </c>
      <c r="F29" s="1">
        <f>(14.94*(657/100))*10</f>
        <v>981.55799999999999</v>
      </c>
      <c r="G29" s="1">
        <f>(21.67*(657/100))*10</f>
        <v>1423.7190000000001</v>
      </c>
      <c r="H29" s="1">
        <f>(23.3*(657/100))*10</f>
        <v>1530.8100000000002</v>
      </c>
      <c r="I29" s="1">
        <f>(11.3*(657/100))*10</f>
        <v>742.41000000000008</v>
      </c>
      <c r="J29" s="1">
        <f>(2.7*(657/100))*10</f>
        <v>177.39000000000001</v>
      </c>
      <c r="K29" s="1">
        <f>(0.04*(657/100))*10</f>
        <v>2.6280000000000001</v>
      </c>
      <c r="L29" s="1">
        <f>(0.76*(657/100))*10</f>
        <v>49.932000000000002</v>
      </c>
      <c r="M29" s="1">
        <f>(0.09*(657/100))*10</f>
        <v>5.9130000000000003</v>
      </c>
      <c r="N29" s="1">
        <f>(0.05*(657/100))*10</f>
        <v>3.2850000000000001</v>
      </c>
    </row>
    <row r="30" spans="1:14" x14ac:dyDescent="0.25">
      <c r="A30">
        <v>123456</v>
      </c>
      <c r="B30">
        <v>1948</v>
      </c>
      <c r="C30" s="1">
        <f>(6.42*(657/100))*10</f>
        <v>421.79399999999998</v>
      </c>
      <c r="D30" s="1">
        <f>(3.45*(657/100))*10</f>
        <v>226.66500000000002</v>
      </c>
      <c r="E30" s="1">
        <f>(4.66*(657/100))*10</f>
        <v>306.16200000000003</v>
      </c>
      <c r="F30" s="1">
        <f>(6.01*(657/100))*10</f>
        <v>394.85700000000003</v>
      </c>
      <c r="G30" s="1">
        <f>(7.37*(657/100))*10</f>
        <v>484.20900000000006</v>
      </c>
      <c r="H30" s="1">
        <f>(13.75*(657/100))*10</f>
        <v>903.375</v>
      </c>
      <c r="I30" s="1">
        <f>(3.28*(657/100))*10</f>
        <v>215.49599999999998</v>
      </c>
      <c r="J30" s="1">
        <f>(6.4*(657/100))*10</f>
        <v>420.48</v>
      </c>
      <c r="K30" s="1">
        <f>(1.55*(657/100))*10</f>
        <v>101.83500000000001</v>
      </c>
      <c r="L30" s="1">
        <f>(1.22*(657/100))*10</f>
        <v>80.153999999999996</v>
      </c>
      <c r="M30" s="1">
        <f>(0.53*(657/100))*10</f>
        <v>34.821000000000005</v>
      </c>
      <c r="N30" s="1">
        <f>(1.25*(657/100))*10</f>
        <v>82.125</v>
      </c>
    </row>
    <row r="31" spans="1:14" x14ac:dyDescent="0.25">
      <c r="A31">
        <v>123456</v>
      </c>
      <c r="B31">
        <v>1949</v>
      </c>
      <c r="C31" s="1">
        <f>(2.88*(657/100))*10</f>
        <v>189.21600000000001</v>
      </c>
      <c r="D31" s="1">
        <f>(8.51*(657/100))*10</f>
        <v>559.10699999999997</v>
      </c>
      <c r="E31" s="1">
        <f>(11.48*(657/100))*10</f>
        <v>754.2360000000001</v>
      </c>
      <c r="F31" s="1">
        <f>(7.37*(657/100))*10</f>
        <v>484.20900000000006</v>
      </c>
      <c r="G31" s="1">
        <f>(15.81*(657/100))*10</f>
        <v>1038.7170000000001</v>
      </c>
      <c r="H31" s="1">
        <f>(19.5*(657/100))*10</f>
        <v>1281.1500000000001</v>
      </c>
      <c r="I31" s="1">
        <f>(17.05*(657/100))*10</f>
        <v>1120.1849999999999</v>
      </c>
      <c r="J31" s="1">
        <f>(8.6*(657/100))*10</f>
        <v>565.02</v>
      </c>
      <c r="K31" s="1">
        <f>(2.67*(657/100))*10</f>
        <v>175.41900000000001</v>
      </c>
      <c r="L31" s="1">
        <f>(4.17*(657/100))*10</f>
        <v>273.96900000000005</v>
      </c>
      <c r="M31" s="1">
        <f>(7.89*(657/100))*10</f>
        <v>518.37300000000005</v>
      </c>
      <c r="N31" s="1">
        <f>(4.84*(657/100))*10</f>
        <v>317.988</v>
      </c>
    </row>
    <row r="32" spans="1:14" x14ac:dyDescent="0.25">
      <c r="A32">
        <v>123456</v>
      </c>
      <c r="B32">
        <v>1950</v>
      </c>
      <c r="C32" s="1">
        <f>(5.55*(657/100))*10</f>
        <v>364.63500000000005</v>
      </c>
      <c r="D32" s="1">
        <f>(8.2*(657/100))*10</f>
        <v>538.74</v>
      </c>
      <c r="E32" s="1">
        <f>(25.69*(657/100))*10</f>
        <v>1687.8330000000003</v>
      </c>
      <c r="F32" s="1">
        <f>(15.96*(657/100))*10</f>
        <v>1048.5720000000001</v>
      </c>
      <c r="G32" s="1">
        <f>(6.74*(657/100))*10</f>
        <v>442.81800000000004</v>
      </c>
      <c r="H32" s="1">
        <f>(13.78*(657/100))*10</f>
        <v>905.346</v>
      </c>
      <c r="I32" s="1">
        <f>(4.86*(657/100))*10</f>
        <v>319.30200000000002</v>
      </c>
      <c r="J32" s="1">
        <f>(3.84*(657/100))*10</f>
        <v>252.28800000000001</v>
      </c>
      <c r="K32" s="1">
        <f>(4.88*(657/100))*10</f>
        <v>320.61599999999999</v>
      </c>
      <c r="L32" s="1">
        <f>(1.11*(657/100))*10</f>
        <v>72.927000000000007</v>
      </c>
      <c r="M32" s="1">
        <f>(1.79*(657/100))*10</f>
        <v>117.60300000000001</v>
      </c>
      <c r="N32" s="1">
        <f>(6.32*(657/100))*10</f>
        <v>415.22400000000005</v>
      </c>
    </row>
    <row r="33" spans="1:14" x14ac:dyDescent="0.25">
      <c r="A33">
        <v>123456</v>
      </c>
      <c r="B33">
        <v>1951</v>
      </c>
      <c r="C33" s="1">
        <f>(13.05*(657/100))*10</f>
        <v>857.38499999999999</v>
      </c>
      <c r="D33" s="1">
        <f>(2.3*(657/100))*10</f>
        <v>151.10999999999999</v>
      </c>
      <c r="E33" s="1">
        <f>(1.14*(657/100))*10</f>
        <v>74.897999999999996</v>
      </c>
      <c r="F33" s="1">
        <f>(11.67*(657/100))*10</f>
        <v>766.71900000000005</v>
      </c>
      <c r="G33" s="1">
        <f>(17.06*(657/100))*10</f>
        <v>1120.8419999999999</v>
      </c>
      <c r="H33" s="1">
        <f>(6.3*(657/100))*10</f>
        <v>413.90999999999997</v>
      </c>
      <c r="I33" s="1">
        <f>(7.92*(657/100))*10</f>
        <v>520.34400000000005</v>
      </c>
      <c r="J33" s="1">
        <f>(2.79*(657/100))*10</f>
        <v>183.303</v>
      </c>
      <c r="K33" s="1">
        <f>(3.2*(657/100))*10</f>
        <v>210.24</v>
      </c>
      <c r="L33" s="1">
        <f>(6.66*(657/100))*10</f>
        <v>437.56200000000001</v>
      </c>
      <c r="M33" s="1">
        <f>(2.73*(657/100))*10</f>
        <v>179.36099999999999</v>
      </c>
      <c r="N33" s="1">
        <f>(11.74*(657/100))*10</f>
        <v>771.31799999999998</v>
      </c>
    </row>
    <row r="34" spans="1:14" x14ac:dyDescent="0.25">
      <c r="A34">
        <v>123456</v>
      </c>
      <c r="B34">
        <v>1952</v>
      </c>
      <c r="C34" s="1">
        <f>(6.63*(657/100))*10</f>
        <v>435.59100000000001</v>
      </c>
      <c r="D34" s="1">
        <f>(7.57*(657/100))*10</f>
        <v>497.34900000000005</v>
      </c>
      <c r="E34" s="1">
        <f>(11.35*(657/100))*10</f>
        <v>745.69500000000005</v>
      </c>
      <c r="F34" s="1">
        <f>(6.57*(657/100))*10</f>
        <v>431.649</v>
      </c>
      <c r="G34" s="1">
        <f>(18.84*(657/100))*10</f>
        <v>1237.788</v>
      </c>
      <c r="H34" s="1">
        <f>(5.82*(657/100))*10</f>
        <v>382.37400000000002</v>
      </c>
      <c r="I34" s="1">
        <f>(17.02*(657/100))*10</f>
        <v>1118.2139999999999</v>
      </c>
      <c r="J34" s="1">
        <f>(4.59*(657/100))*10</f>
        <v>301.56299999999999</v>
      </c>
      <c r="K34" s="1">
        <f>(0*(657/100))*10</f>
        <v>0</v>
      </c>
      <c r="L34" s="1">
        <f>(0.27*(657/100))*10</f>
        <v>17.739000000000004</v>
      </c>
      <c r="M34" s="1">
        <f>(2.7*(657/100))*10</f>
        <v>177.39000000000001</v>
      </c>
      <c r="N34" s="1">
        <f>(5.2*(657/100))*10</f>
        <v>341.64</v>
      </c>
    </row>
    <row r="35" spans="1:14" x14ac:dyDescent="0.25">
      <c r="A35">
        <v>123456</v>
      </c>
      <c r="B35">
        <v>1953</v>
      </c>
      <c r="C35" s="1">
        <f>(11.2*(657/100))*10</f>
        <v>735.84</v>
      </c>
      <c r="D35" s="1">
        <f>(17.31*(657/100))*10</f>
        <v>1137.2669999999998</v>
      </c>
      <c r="E35" s="1">
        <f>(11.75*(657/100))*10</f>
        <v>771.97500000000002</v>
      </c>
      <c r="F35" s="1">
        <f>(7.62*(657/100))*10</f>
        <v>500.63400000000001</v>
      </c>
      <c r="G35" s="1">
        <f>(15.3*(657/100))*10</f>
        <v>1005.2100000000002</v>
      </c>
      <c r="H35" s="1">
        <f>(25.81*(657/100))*10</f>
        <v>1695.7169999999999</v>
      </c>
      <c r="I35" s="1">
        <f>(6.52*(657/100))*10</f>
        <v>428.36399999999998</v>
      </c>
      <c r="J35" s="1">
        <f>(4.04*(657/100))*10</f>
        <v>265.428</v>
      </c>
      <c r="K35" s="1">
        <f>(1.16*(657/100))*10</f>
        <v>76.212000000000003</v>
      </c>
      <c r="L35" s="1">
        <f>(0.99*(657/100))*10</f>
        <v>65.043000000000006</v>
      </c>
      <c r="M35" s="1">
        <f>(0.03*(657/100))*10</f>
        <v>1.9710000000000001</v>
      </c>
      <c r="N35" s="1">
        <f>(1.23*(657/100))*10</f>
        <v>80.811000000000007</v>
      </c>
    </row>
    <row r="36" spans="1:14" x14ac:dyDescent="0.25">
      <c r="A36">
        <v>123456</v>
      </c>
      <c r="B36">
        <v>1954</v>
      </c>
      <c r="C36" s="1">
        <f>(1.57*(657/100))*10</f>
        <v>103.14900000000002</v>
      </c>
      <c r="D36" s="1">
        <f>(12.03*(657/100))*10</f>
        <v>790.37099999999998</v>
      </c>
      <c r="E36" s="1">
        <f>(6.88*(657/100))*10</f>
        <v>452.01599999999996</v>
      </c>
      <c r="F36" s="1">
        <f>(21.51*(657/100))*10</f>
        <v>1413.2070000000001</v>
      </c>
      <c r="G36" s="1">
        <f>(22.48*(657/100))*10</f>
        <v>1476.9360000000001</v>
      </c>
      <c r="H36" s="1">
        <f>(8.9*(657/100))*10</f>
        <v>584.73</v>
      </c>
      <c r="I36" s="1">
        <f>(13.38*(657/100))*10</f>
        <v>879.06600000000014</v>
      </c>
      <c r="J36" s="1">
        <f>(3.6*(657/100))*10</f>
        <v>236.52</v>
      </c>
      <c r="K36" s="1">
        <f>(3.99*(657/100))*10</f>
        <v>262.14300000000003</v>
      </c>
      <c r="L36" s="1">
        <f>(0.54*(657/100))*10</f>
        <v>35.478000000000009</v>
      </c>
      <c r="M36" s="1">
        <f>(1.01*(657/100))*10</f>
        <v>66.356999999999999</v>
      </c>
      <c r="N36" s="1">
        <f>(0.71*(657/100))*10</f>
        <v>46.646999999999998</v>
      </c>
    </row>
    <row r="37" spans="1:14" x14ac:dyDescent="0.25">
      <c r="A37">
        <v>123456</v>
      </c>
      <c r="B37">
        <v>1955</v>
      </c>
      <c r="C37" s="1">
        <f>(8.31*(657/100))*10</f>
        <v>545.9670000000001</v>
      </c>
      <c r="D37" s="1">
        <f>(14.4*(657/100))*10</f>
        <v>946.08</v>
      </c>
      <c r="E37" s="1">
        <f>(10.85*(657/100))*10</f>
        <v>712.84499999999991</v>
      </c>
      <c r="F37" s="1">
        <f>(8.5*(657/100))*10</f>
        <v>558.45000000000005</v>
      </c>
      <c r="G37" s="1">
        <f>(14.07*(657/100))*10</f>
        <v>924.39900000000011</v>
      </c>
      <c r="H37" s="1">
        <f>(18.61*(657/100))*10</f>
        <v>1222.6770000000001</v>
      </c>
      <c r="I37" s="1">
        <f>(14.12*(657/100))*10</f>
        <v>927.68399999999997</v>
      </c>
      <c r="J37" s="1">
        <f>(6.28*(657/100))*10</f>
        <v>412.59600000000006</v>
      </c>
      <c r="K37" s="1">
        <f>(1.18*(657/100))*10</f>
        <v>77.525999999999996</v>
      </c>
      <c r="L37" s="1">
        <f>(1.79*(657/100))*10</f>
        <v>117.60300000000001</v>
      </c>
      <c r="M37" s="1">
        <f>(0.05*(657/100))*10</f>
        <v>3.2850000000000001</v>
      </c>
      <c r="N37" s="1">
        <f>(6.15*(657/100))*10</f>
        <v>404.05500000000006</v>
      </c>
    </row>
    <row r="38" spans="1:14" x14ac:dyDescent="0.25">
      <c r="A38">
        <v>123456</v>
      </c>
      <c r="B38">
        <v>1956</v>
      </c>
      <c r="C38" s="1">
        <f>(9*(657/100))*10</f>
        <v>591.30000000000007</v>
      </c>
      <c r="D38" s="1">
        <f>(10.13*(657/100))*10</f>
        <v>665.54100000000005</v>
      </c>
      <c r="E38" s="1">
        <f>(22.79*(657/100))*10</f>
        <v>1497.3029999999999</v>
      </c>
      <c r="F38" s="1">
        <f>(15*(657/100))*10</f>
        <v>985.50000000000011</v>
      </c>
      <c r="G38" s="1">
        <f>(11.88*(657/100))*10</f>
        <v>780.51600000000008</v>
      </c>
      <c r="H38" s="1">
        <f>(12.38*(657/100))*10</f>
        <v>813.36599999999999</v>
      </c>
      <c r="I38" s="1">
        <f>(2.81*(657/100))*10</f>
        <v>184.61700000000002</v>
      </c>
      <c r="J38" s="1">
        <f>(2.18*(657/100))*10</f>
        <v>143.226</v>
      </c>
      <c r="K38" s="1">
        <f>(2.04*(657/100))*10</f>
        <v>134.02800000000002</v>
      </c>
      <c r="L38" s="1">
        <f>(1.47*(657/100))*10</f>
        <v>96.578999999999994</v>
      </c>
      <c r="M38" s="1">
        <f>(8.71*(657/100))*10</f>
        <v>572.24700000000007</v>
      </c>
      <c r="N38" s="1">
        <f>(14.56*(657/100))*10</f>
        <v>956.5920000000001</v>
      </c>
    </row>
    <row r="39" spans="1:14" x14ac:dyDescent="0.25">
      <c r="A39">
        <v>123456</v>
      </c>
      <c r="B39">
        <v>1957</v>
      </c>
      <c r="C39" s="1">
        <f>(13.86*(657/100))*10</f>
        <v>910.60199999999998</v>
      </c>
      <c r="D39" s="1">
        <f>(13.43*(657/100))*10</f>
        <v>882.351</v>
      </c>
      <c r="E39" s="1">
        <f>(8.39*(657/100))*10</f>
        <v>551.22300000000007</v>
      </c>
      <c r="F39" s="1">
        <f>(26.79*(657/100))*10</f>
        <v>1760.1030000000001</v>
      </c>
      <c r="G39" s="1">
        <f>(6.4*(657/100))*10</f>
        <v>420.48</v>
      </c>
      <c r="H39" s="1">
        <f>(10.6*(657/100))*10</f>
        <v>696.42</v>
      </c>
      <c r="I39" s="1">
        <f>(8.82*(657/100))*10</f>
        <v>579.47400000000005</v>
      </c>
      <c r="J39" s="1">
        <f>(15.96*(657/100))*10</f>
        <v>1048.5720000000001</v>
      </c>
      <c r="K39" s="1">
        <f>(0.29*(657/100))*10</f>
        <v>19.053000000000001</v>
      </c>
      <c r="L39" s="1">
        <f>(0.05*(657/100))*10</f>
        <v>3.2850000000000001</v>
      </c>
      <c r="M39" s="1">
        <f>(0.07*(657/100))*10</f>
        <v>4.5990000000000011</v>
      </c>
      <c r="N39" s="1">
        <f>(3.04*(657/100))*10</f>
        <v>199.72800000000001</v>
      </c>
    </row>
    <row r="40" spans="1:14" x14ac:dyDescent="0.25">
      <c r="A40">
        <v>123456</v>
      </c>
      <c r="B40">
        <v>1958</v>
      </c>
      <c r="C40" s="1">
        <f>(3.92*(657/100))*10</f>
        <v>257.54399999999998</v>
      </c>
      <c r="D40" s="1">
        <f>(13.9*(657/100))*10</f>
        <v>913.23</v>
      </c>
      <c r="E40" s="1">
        <f>(23.26*(657/100))*10</f>
        <v>1528.1820000000002</v>
      </c>
      <c r="F40" s="1">
        <f>(9.12*(657/100))*10</f>
        <v>599.18399999999997</v>
      </c>
      <c r="G40" s="1">
        <f>(19.08*(657/100))*10</f>
        <v>1253.556</v>
      </c>
      <c r="H40" s="1">
        <f>(9.73*(657/100))*10</f>
        <v>639.26100000000008</v>
      </c>
      <c r="I40" s="1">
        <f>(18.76*(657/100))*10</f>
        <v>1232.5320000000002</v>
      </c>
      <c r="J40" s="1">
        <f>(11.99*(657/100))*10</f>
        <v>787.74300000000017</v>
      </c>
      <c r="K40" s="1">
        <f>(0.12*(657/100))*10</f>
        <v>7.8840000000000003</v>
      </c>
      <c r="L40" s="1">
        <f>(8.98*(657/100))*10</f>
        <v>589.98599999999999</v>
      </c>
      <c r="M40" s="1">
        <f>(0.74*(657/100))*10</f>
        <v>48.618000000000009</v>
      </c>
      <c r="N40" s="1">
        <f>(1.05*(657/100))*10</f>
        <v>68.984999999999999</v>
      </c>
    </row>
    <row r="41" spans="1:14" x14ac:dyDescent="0.25">
      <c r="A41">
        <v>123456</v>
      </c>
      <c r="B41">
        <v>1959</v>
      </c>
      <c r="C41" s="1">
        <f>(6.92*(657/100))*10</f>
        <v>454.64400000000006</v>
      </c>
      <c r="D41" s="1">
        <f>(15.25*(657/100))*10</f>
        <v>1001.9250000000001</v>
      </c>
      <c r="E41" s="1">
        <f>(17.29*(657/100))*10</f>
        <v>1135.953</v>
      </c>
      <c r="F41" s="1">
        <f>(14.53*(657/100))*10</f>
        <v>954.62100000000009</v>
      </c>
      <c r="G41" s="1">
        <f>(12.17*(657/100))*10</f>
        <v>799.56900000000007</v>
      </c>
      <c r="H41" s="1">
        <f>(11.21*(657/100))*10</f>
        <v>736.49700000000007</v>
      </c>
      <c r="I41" s="1">
        <f>(8.32*(657/100))*10</f>
        <v>546.62400000000002</v>
      </c>
      <c r="J41" s="1">
        <f>(6.33*(657/100))*10</f>
        <v>415.88100000000003</v>
      </c>
      <c r="K41" s="1">
        <f>(2.9*(657/100))*10</f>
        <v>190.53</v>
      </c>
      <c r="L41" s="1">
        <f>(0.93*(657/100))*10</f>
        <v>61.101000000000013</v>
      </c>
      <c r="M41" s="1">
        <f>(6.48*(657/100))*10</f>
        <v>425.73600000000005</v>
      </c>
      <c r="N41" s="1">
        <f>(3.79*(657/100))*10</f>
        <v>249.00300000000001</v>
      </c>
    </row>
    <row r="42" spans="1:14" x14ac:dyDescent="0.25">
      <c r="A42">
        <v>123456</v>
      </c>
      <c r="B42">
        <v>1960</v>
      </c>
      <c r="C42" s="1">
        <f>(11.25*(657/100))*10</f>
        <v>739.12500000000011</v>
      </c>
      <c r="D42" s="1">
        <f>(18.31*(657/100))*10</f>
        <v>1202.9670000000001</v>
      </c>
      <c r="E42" s="1">
        <f>(11.11*(657/100))*10</f>
        <v>729.92700000000002</v>
      </c>
      <c r="F42" s="1">
        <f>(11.44*(657/100))*10</f>
        <v>751.60799999999995</v>
      </c>
      <c r="G42" s="1">
        <f>(7.23*(657/100))*10</f>
        <v>475.01100000000008</v>
      </c>
      <c r="H42" s="1">
        <f>(23.02*(657/100))*10</f>
        <v>1512.414</v>
      </c>
      <c r="I42" s="1">
        <f>(9.66*(657/100))*10</f>
        <v>634.66200000000003</v>
      </c>
      <c r="J42" s="1">
        <f>(10.64*(657/100))*10</f>
        <v>699.04800000000012</v>
      </c>
      <c r="K42" s="1">
        <f>(6.87*(657/100))*10</f>
        <v>451.35899999999998</v>
      </c>
      <c r="L42" s="1">
        <f>(3.35*(657/100))*10</f>
        <v>220.09500000000003</v>
      </c>
      <c r="M42" s="1">
        <f>(6.18*(657/100))*10</f>
        <v>406.02600000000001</v>
      </c>
      <c r="N42" s="1">
        <f>(0.56*(657/100))*10</f>
        <v>36.792000000000009</v>
      </c>
    </row>
    <row r="43" spans="1:14" x14ac:dyDescent="0.25">
      <c r="A43">
        <v>123456</v>
      </c>
      <c r="B43">
        <v>1961</v>
      </c>
      <c r="C43" s="1">
        <f>(0.12*(657/100))*10</f>
        <v>7.8840000000000003</v>
      </c>
      <c r="D43" s="1">
        <f>(18.02*(657/100))*10</f>
        <v>1183.914</v>
      </c>
      <c r="E43" s="1">
        <f>(13.5*(657/100))*10</f>
        <v>886.95</v>
      </c>
      <c r="F43" s="1">
        <f>(14.03*(657/100))*10</f>
        <v>921.77099999999996</v>
      </c>
      <c r="G43" s="1">
        <f>(30.19*(657/100))*10</f>
        <v>1983.4830000000002</v>
      </c>
      <c r="H43" s="1">
        <f>(15.33*(657/100))*10</f>
        <v>1007.181</v>
      </c>
      <c r="I43" s="1">
        <f>(7.06*(657/100))*10</f>
        <v>463.84199999999998</v>
      </c>
      <c r="J43" s="1">
        <f>(1.77*(657/100))*10</f>
        <v>116.289</v>
      </c>
      <c r="K43" s="1">
        <f>(0.9*(657/100))*10</f>
        <v>59.13</v>
      </c>
      <c r="L43" s="1">
        <f>(0.2*(657/100))*10</f>
        <v>13.14</v>
      </c>
      <c r="M43" s="1">
        <f>(0.87*(657/100))*10</f>
        <v>57.159000000000006</v>
      </c>
      <c r="N43" s="1">
        <f>(0.64*(657/100))*10</f>
        <v>42.048000000000002</v>
      </c>
    </row>
    <row r="44" spans="1:14" x14ac:dyDescent="0.25">
      <c r="A44">
        <v>123456</v>
      </c>
      <c r="B44">
        <v>1962</v>
      </c>
      <c r="C44" s="1">
        <f>(3.45*(657/100))*10</f>
        <v>226.66500000000002</v>
      </c>
      <c r="D44" s="1">
        <f>(18.84*(657/100))*10</f>
        <v>1237.788</v>
      </c>
      <c r="E44" s="1">
        <f>(17*(657/100))*10</f>
        <v>1116.9000000000001</v>
      </c>
      <c r="F44" s="1">
        <f>(24.87*(657/100))*10</f>
        <v>1633.9590000000001</v>
      </c>
      <c r="G44" s="1">
        <f>(8.53*(657/100))*10</f>
        <v>560.42099999999994</v>
      </c>
      <c r="H44" s="1">
        <f>(29.13*(657/100))*10</f>
        <v>1913.8409999999999</v>
      </c>
      <c r="I44" s="1">
        <f>(8.31*(657/100))*10</f>
        <v>545.9670000000001</v>
      </c>
      <c r="J44" s="1">
        <f>(1.44*(657/100))*10</f>
        <v>94.608000000000004</v>
      </c>
      <c r="K44" s="1">
        <f>(3.07*(657/100))*10</f>
        <v>201.69899999999998</v>
      </c>
      <c r="L44" s="1">
        <f>(8.39*(657/100))*10</f>
        <v>551.22300000000007</v>
      </c>
      <c r="M44" s="1">
        <f>(2.16*(657/100))*10</f>
        <v>141.91200000000003</v>
      </c>
      <c r="N44" s="1">
        <f>(0.33*(657/100))*10</f>
        <v>21.681000000000004</v>
      </c>
    </row>
    <row r="45" spans="1:14" x14ac:dyDescent="0.25">
      <c r="A45">
        <v>123456</v>
      </c>
      <c r="B45">
        <v>1963</v>
      </c>
      <c r="C45" s="1">
        <f>(12.92*(657/100))*10</f>
        <v>848.84400000000005</v>
      </c>
      <c r="D45" s="1">
        <f>(17.84*(657/100))*10</f>
        <v>1172.0880000000002</v>
      </c>
      <c r="E45" s="1">
        <f>(12.74*(657/100))*10</f>
        <v>837.01800000000003</v>
      </c>
      <c r="F45" s="1">
        <f>(6.01*(657/100))*10</f>
        <v>394.85700000000003</v>
      </c>
      <c r="G45" s="1">
        <f>(5.97*(657/100))*10</f>
        <v>392.22900000000004</v>
      </c>
      <c r="H45" s="1">
        <f>(12.82*(657/100))*10</f>
        <v>842.274</v>
      </c>
      <c r="I45" s="1">
        <f>(8.59*(657/100))*10</f>
        <v>564.36300000000006</v>
      </c>
      <c r="J45" s="1">
        <f>(2.15*(657/100))*10</f>
        <v>141.255</v>
      </c>
      <c r="K45" s="1">
        <f>(5.27*(657/100))*10</f>
        <v>346.23899999999998</v>
      </c>
      <c r="L45" s="1">
        <f>(0*(657/100))*10</f>
        <v>0</v>
      </c>
      <c r="M45" s="1">
        <f>(0.74*(657/100))*10</f>
        <v>48.618000000000009</v>
      </c>
      <c r="N45" s="1">
        <f>(1.8*(657/100))*10</f>
        <v>118.26</v>
      </c>
    </row>
    <row r="46" spans="1:14" x14ac:dyDescent="0.25">
      <c r="A46">
        <v>123456</v>
      </c>
      <c r="B46">
        <v>1964</v>
      </c>
      <c r="C46" s="1">
        <f>(15.96*(657/100))*10</f>
        <v>1048.5720000000001</v>
      </c>
      <c r="D46" s="1">
        <f>(1.64*(657/100))*10</f>
        <v>107.74799999999999</v>
      </c>
      <c r="E46" s="1">
        <f>(13.59*(657/100))*10</f>
        <v>892.86299999999994</v>
      </c>
      <c r="F46" s="1">
        <f>(13.72*(657/100))*10</f>
        <v>901.40400000000011</v>
      </c>
      <c r="G46" s="1">
        <f>(8.05*(657/100))*10</f>
        <v>528.8850000000001</v>
      </c>
      <c r="H46" s="1">
        <f>(6.15*(657/100))*10</f>
        <v>404.05500000000006</v>
      </c>
      <c r="I46" s="1">
        <f>(16.18*(657/100))*10</f>
        <v>1063.0260000000001</v>
      </c>
      <c r="J46" s="1">
        <f>(1.76*(657/100))*10</f>
        <v>115.63200000000001</v>
      </c>
      <c r="K46" s="1">
        <f>(4.68*(657/100))*10</f>
        <v>307.476</v>
      </c>
      <c r="L46" s="1">
        <f>(2.89*(657/100))*10</f>
        <v>189.87300000000002</v>
      </c>
      <c r="M46" s="1">
        <f>(0.76*(657/100))*10</f>
        <v>49.932000000000002</v>
      </c>
      <c r="N46" s="1">
        <f>(1.81*(657/100))*10</f>
        <v>118.917</v>
      </c>
    </row>
    <row r="47" spans="1:14" x14ac:dyDescent="0.25">
      <c r="A47">
        <v>123456</v>
      </c>
      <c r="B47">
        <v>1965</v>
      </c>
      <c r="C47" s="1">
        <f>(7.53*(657/100))*10</f>
        <v>494.72100000000006</v>
      </c>
      <c r="D47" s="1">
        <f>(13.06*(657/100))*10</f>
        <v>858.04200000000014</v>
      </c>
      <c r="E47" s="1">
        <f>(3.01*(657/100))*10</f>
        <v>197.75700000000001</v>
      </c>
      <c r="F47" s="1">
        <f>(20.14*(657/100))*10</f>
        <v>1323.1980000000001</v>
      </c>
      <c r="G47" s="1">
        <f>(15.47*(657/100))*10</f>
        <v>1016.379</v>
      </c>
      <c r="H47" s="1">
        <f>(4.34*(657/100))*10</f>
        <v>285.13799999999998</v>
      </c>
      <c r="I47" s="1">
        <f>(3.32*(657/100))*10</f>
        <v>218.124</v>
      </c>
      <c r="J47" s="1">
        <f>(1.42*(657/100))*10</f>
        <v>93.293999999999997</v>
      </c>
      <c r="K47" s="1">
        <f>(3.41*(657/100))*10</f>
        <v>224.03700000000001</v>
      </c>
      <c r="L47" s="1">
        <f>(0*(657/100))*10</f>
        <v>0</v>
      </c>
      <c r="M47" s="1">
        <f>(1.12*(657/100))*10</f>
        <v>73.584000000000017</v>
      </c>
      <c r="N47" s="1">
        <f>(1.99*(657/100))*10</f>
        <v>130.74299999999999</v>
      </c>
    </row>
    <row r="48" spans="1:14" x14ac:dyDescent="0.25">
      <c r="A48">
        <v>123456</v>
      </c>
      <c r="B48">
        <v>1966</v>
      </c>
      <c r="C48" s="1">
        <f>(3.88*(657/100))*10</f>
        <v>254.91600000000003</v>
      </c>
      <c r="D48" s="1">
        <f>(11.15*(657/100))*10</f>
        <v>732.55500000000006</v>
      </c>
      <c r="E48" s="1">
        <f>(11.11*(657/100))*10</f>
        <v>729.92700000000002</v>
      </c>
      <c r="F48" s="1">
        <f>(23.24*(657/100))*10</f>
        <v>1526.8679999999999</v>
      </c>
      <c r="G48" s="1">
        <f>(8.75*(657/100))*10</f>
        <v>574.875</v>
      </c>
      <c r="H48" s="1">
        <f>(11.81*(657/100))*10</f>
        <v>775.91700000000003</v>
      </c>
      <c r="I48" s="1">
        <f>(23.45*(657/100))*10</f>
        <v>1540.665</v>
      </c>
      <c r="J48" s="1">
        <f>(15.09*(657/100))*10</f>
        <v>991.41300000000001</v>
      </c>
      <c r="K48" s="1">
        <f>(5.55*(657/100))*10</f>
        <v>364.63500000000005</v>
      </c>
      <c r="L48" s="1">
        <f>(2*(657/100))*10</f>
        <v>131.4</v>
      </c>
      <c r="M48" s="1">
        <f>(0.75*(657/100))*10</f>
        <v>49.275000000000006</v>
      </c>
      <c r="N48" s="1">
        <f>(0.86*(657/100))*10</f>
        <v>56.501999999999995</v>
      </c>
    </row>
    <row r="49" spans="1:14" x14ac:dyDescent="0.25">
      <c r="A49">
        <v>123456</v>
      </c>
      <c r="B49">
        <v>1967</v>
      </c>
      <c r="C49" s="1">
        <f>(5.01*(657/100))*10</f>
        <v>329.15700000000004</v>
      </c>
      <c r="D49" s="1">
        <f>(5.2*(657/100))*10</f>
        <v>341.64</v>
      </c>
      <c r="E49" s="1">
        <f>(3.23*(657/100))*10</f>
        <v>212.21100000000001</v>
      </c>
      <c r="F49" s="1">
        <f>(6.46*(657/100))*10</f>
        <v>424.42200000000003</v>
      </c>
      <c r="G49" s="1">
        <f>(1.83*(657/100))*10</f>
        <v>120.23100000000001</v>
      </c>
      <c r="H49" s="1">
        <f>(13.09*(657/100))*10</f>
        <v>860.01300000000003</v>
      </c>
      <c r="I49" s="1">
        <f>(5.02*(657/100))*10</f>
        <v>329.81400000000002</v>
      </c>
      <c r="J49" s="1">
        <f>(5.07*(657/100))*10</f>
        <v>333.09900000000005</v>
      </c>
      <c r="K49" s="1">
        <f>(1.15*(657/100))*10</f>
        <v>75.554999999999993</v>
      </c>
      <c r="L49" s="1">
        <f>(1.68*(657/100))*10</f>
        <v>110.37599999999999</v>
      </c>
      <c r="M49" s="1">
        <f>(0.86*(657/100))*10</f>
        <v>56.501999999999995</v>
      </c>
      <c r="N49" s="1">
        <f>(6.59*(657/100))*10</f>
        <v>432.96300000000002</v>
      </c>
    </row>
    <row r="50" spans="1:14" x14ac:dyDescent="0.25">
      <c r="A50">
        <v>123456</v>
      </c>
      <c r="B50">
        <v>1968</v>
      </c>
      <c r="C50" s="1">
        <f>(6.77*(657/100))*10</f>
        <v>444.78899999999999</v>
      </c>
      <c r="D50" s="1">
        <f>(5.54*(657/100))*10</f>
        <v>363.97800000000007</v>
      </c>
      <c r="E50" s="1">
        <f>(12.75*(657/100))*10</f>
        <v>837.67499999999995</v>
      </c>
      <c r="F50" s="1">
        <f>(8.16*(657/100))*10</f>
        <v>536.11200000000008</v>
      </c>
      <c r="G50" s="1">
        <f>(14.51*(657/100))*10</f>
        <v>953.30700000000002</v>
      </c>
      <c r="H50" s="1">
        <f>(26.71*(657/100))*10</f>
        <v>1754.847</v>
      </c>
      <c r="I50" s="1">
        <f>(6.86*(657/100))*10</f>
        <v>450.70200000000006</v>
      </c>
      <c r="J50" s="1">
        <f>(4.6*(657/100))*10</f>
        <v>302.21999999999997</v>
      </c>
      <c r="K50" s="1">
        <f>(0.95*(657/100))*10</f>
        <v>62.415000000000006</v>
      </c>
      <c r="L50" s="1">
        <f>(1.14*(657/100))*10</f>
        <v>74.897999999999996</v>
      </c>
      <c r="M50" s="1">
        <f>(2.98*(657/100))*10</f>
        <v>195.786</v>
      </c>
      <c r="N50" s="1">
        <f>(3.59*(657/100))*10</f>
        <v>235.863</v>
      </c>
    </row>
    <row r="51" spans="1:14" x14ac:dyDescent="0.25">
      <c r="A51">
        <v>123456</v>
      </c>
      <c r="B51">
        <v>1969</v>
      </c>
      <c r="C51" s="1">
        <f>(9.99*(657/100))*10</f>
        <v>656.34300000000007</v>
      </c>
      <c r="D51" s="1">
        <f>(4.14*(657/100))*10</f>
        <v>271.99799999999999</v>
      </c>
      <c r="E51" s="1">
        <f>(5.21*(657/100))*10</f>
        <v>342.29700000000003</v>
      </c>
      <c r="F51" s="1">
        <f>(8.45*(657/100))*10</f>
        <v>555.16499999999996</v>
      </c>
      <c r="G51" s="1">
        <f>(7.15*(657/100))*10</f>
        <v>469.75500000000005</v>
      </c>
      <c r="H51" s="1">
        <f>(1.69*(657/100))*10</f>
        <v>111.03300000000002</v>
      </c>
      <c r="I51" s="1">
        <f>(1.14*(657/100))*10</f>
        <v>74.897999999999996</v>
      </c>
      <c r="J51" s="1">
        <f>(2.93*(657/100))*10</f>
        <v>192.50100000000003</v>
      </c>
      <c r="K51" s="1">
        <f>(3.5*(657/100))*10</f>
        <v>229.95000000000002</v>
      </c>
      <c r="L51" s="1">
        <f>(2.78*(657/100))*10</f>
        <v>182.64599999999999</v>
      </c>
      <c r="M51" s="1">
        <f>(7.82*(657/100))*10</f>
        <v>513.774</v>
      </c>
      <c r="N51" s="1">
        <f>(12.2*(657/100))*10</f>
        <v>801.54</v>
      </c>
    </row>
    <row r="52" spans="1:14" x14ac:dyDescent="0.25">
      <c r="A52">
        <v>123456</v>
      </c>
      <c r="B52">
        <v>1970</v>
      </c>
      <c r="C52" s="1">
        <f>(9.06*(657/100))*10</f>
        <v>595.24200000000008</v>
      </c>
      <c r="D52" s="1">
        <f>(4.4*(657/100))*10</f>
        <v>289.08000000000004</v>
      </c>
      <c r="E52" s="1">
        <f>(25.86*(657/100))*10</f>
        <v>1699.0020000000002</v>
      </c>
      <c r="F52" s="1">
        <f>(10.69*(657/100))*10</f>
        <v>702.33299999999997</v>
      </c>
      <c r="G52" s="1">
        <f>(13.99*(657/100))*10</f>
        <v>919.14300000000014</v>
      </c>
      <c r="H52" s="1">
        <f>(14.44*(657/100))*10</f>
        <v>948.70800000000008</v>
      </c>
      <c r="I52" s="1">
        <f>(15.43*(657/100))*10</f>
        <v>1013.751</v>
      </c>
      <c r="J52" s="1">
        <f>(8.57*(657/100))*10</f>
        <v>563.04899999999998</v>
      </c>
      <c r="K52" s="1">
        <f>(0.71*(657/100))*10</f>
        <v>46.646999999999998</v>
      </c>
      <c r="L52" s="1">
        <f>(6.41*(657/100))*10</f>
        <v>421.137</v>
      </c>
      <c r="M52" s="1">
        <f>(2.71*(657/100))*10</f>
        <v>178.047</v>
      </c>
      <c r="N52" s="1">
        <f>(0.66*(657/100))*10</f>
        <v>43.362000000000009</v>
      </c>
    </row>
    <row r="53" spans="1:14" x14ac:dyDescent="0.25">
      <c r="A53">
        <v>123456</v>
      </c>
      <c r="B53">
        <v>1971</v>
      </c>
      <c r="C53" s="1">
        <f>(5.25*(657/100))*10</f>
        <v>344.92500000000001</v>
      </c>
      <c r="D53" s="1">
        <f>(6.88*(657/100))*10</f>
        <v>452.01599999999996</v>
      </c>
      <c r="E53" s="1">
        <f>(9.09*(657/100))*10</f>
        <v>597.21299999999997</v>
      </c>
      <c r="F53" s="1">
        <f>(19.51*(657/100))*10</f>
        <v>1281.807</v>
      </c>
      <c r="G53" s="1">
        <f>(26.65*(657/100))*10</f>
        <v>1750.905</v>
      </c>
      <c r="H53" s="1">
        <f>(15.68*(657/100))*10</f>
        <v>1030.1759999999999</v>
      </c>
      <c r="I53" s="1">
        <f>(7.51*(657/100))*10</f>
        <v>493.40699999999998</v>
      </c>
      <c r="J53" s="1">
        <f>(1.6*(657/100))*10</f>
        <v>105.12</v>
      </c>
      <c r="K53" s="1">
        <f>(2.9*(657/100))*10</f>
        <v>190.53</v>
      </c>
      <c r="L53" s="1">
        <f>(0.15*(657/100))*10</f>
        <v>9.8550000000000004</v>
      </c>
      <c r="M53" s="1">
        <f>(1.06*(657/100))*10</f>
        <v>69.64200000000001</v>
      </c>
      <c r="N53" s="1">
        <f>(0.55*(657/100))*10</f>
        <v>36.135000000000005</v>
      </c>
    </row>
    <row r="54" spans="1:14" x14ac:dyDescent="0.25">
      <c r="A54">
        <v>123456</v>
      </c>
      <c r="B54">
        <v>1972</v>
      </c>
      <c r="C54" s="1">
        <f>(13.07*(657/100))*10</f>
        <v>858.69900000000007</v>
      </c>
      <c r="D54" s="1">
        <f>(7.89*(657/100))*10</f>
        <v>518.37300000000005</v>
      </c>
      <c r="E54" s="1">
        <f>(2.25*(657/100))*10</f>
        <v>147.82500000000002</v>
      </c>
      <c r="F54" s="1">
        <f>(3.85*(657/100))*10</f>
        <v>252.94500000000002</v>
      </c>
      <c r="G54" s="1">
        <f>(17.15*(657/100))*10</f>
        <v>1126.7550000000001</v>
      </c>
      <c r="H54" s="1">
        <f>(9.31*(657/100))*10</f>
        <v>611.66700000000003</v>
      </c>
      <c r="I54" s="1">
        <f>(4.02*(657/100))*10</f>
        <v>264.11399999999998</v>
      </c>
      <c r="J54" s="1">
        <f>(6.3*(657/100))*10</f>
        <v>413.90999999999997</v>
      </c>
      <c r="K54" s="1">
        <f>(0.23*(657/100))*10</f>
        <v>15.111000000000001</v>
      </c>
      <c r="L54" s="1">
        <f>(0.99*(657/100))*10</f>
        <v>65.043000000000006</v>
      </c>
      <c r="M54" s="1">
        <f>(4.76*(657/100))*10</f>
        <v>312.73199999999997</v>
      </c>
      <c r="N54" s="1">
        <f>(1.46*(657/100))*10</f>
        <v>95.921999999999997</v>
      </c>
    </row>
    <row r="55" spans="1:14" x14ac:dyDescent="0.25">
      <c r="A55">
        <v>123456</v>
      </c>
      <c r="B55">
        <v>1973</v>
      </c>
      <c r="C55" s="1">
        <f>(3.74*(657/100))*10</f>
        <v>245.71800000000002</v>
      </c>
      <c r="D55" s="1">
        <f>(9.11*(657/100))*10</f>
        <v>598.52700000000004</v>
      </c>
      <c r="E55" s="1">
        <f>(13.67*(657/100))*10</f>
        <v>898.11900000000014</v>
      </c>
      <c r="F55" s="1">
        <f>(42.45*(657/100))*10</f>
        <v>2788.9650000000001</v>
      </c>
      <c r="G55" s="1">
        <f>(24.08*(657/100))*10</f>
        <v>1582.056</v>
      </c>
      <c r="H55" s="1">
        <f>(25.72*(657/100))*10</f>
        <v>1689.8040000000001</v>
      </c>
      <c r="I55" s="1">
        <f>(6.24*(657/100))*10</f>
        <v>409.96800000000002</v>
      </c>
      <c r="J55" s="1">
        <f>(12.41*(657/100))*10</f>
        <v>815.3370000000001</v>
      </c>
      <c r="K55" s="1">
        <f>(3.25*(657/100))*10</f>
        <v>213.52499999999998</v>
      </c>
      <c r="L55" s="1">
        <f>(0.1*(657/100))*10</f>
        <v>6.57</v>
      </c>
      <c r="M55" s="1">
        <f>(17.2*(657/100))*10</f>
        <v>1130.04</v>
      </c>
      <c r="N55" s="1">
        <f>(0.11*(657/100))*10</f>
        <v>7.2270000000000003</v>
      </c>
    </row>
    <row r="56" spans="1:14" x14ac:dyDescent="0.25">
      <c r="A56">
        <v>123456</v>
      </c>
      <c r="B56">
        <v>1974</v>
      </c>
      <c r="C56" s="1">
        <f>(6.97*(657/100))*10</f>
        <v>457.92900000000003</v>
      </c>
      <c r="D56" s="1">
        <f>(20.57*(657/100))*10</f>
        <v>1351.4490000000001</v>
      </c>
      <c r="E56" s="1">
        <f>(7.42*(657/100))*10</f>
        <v>487.49400000000003</v>
      </c>
      <c r="F56" s="1">
        <f>(10.19*(657/100))*10</f>
        <v>669.48300000000006</v>
      </c>
      <c r="G56" s="1">
        <f>(14.97*(657/100))*10</f>
        <v>983.529</v>
      </c>
      <c r="H56" s="1">
        <f>(11.83*(657/100))*10</f>
        <v>777.23099999999999</v>
      </c>
      <c r="I56" s="1">
        <f>(11.2*(657/100))*10</f>
        <v>735.84</v>
      </c>
      <c r="J56" s="1">
        <f>(0.48*(657/100))*10</f>
        <v>31.536000000000001</v>
      </c>
      <c r="K56" s="1">
        <f>(5.54*(657/100))*10</f>
        <v>363.97800000000007</v>
      </c>
      <c r="L56" s="1">
        <f>(5*(657/100))*10</f>
        <v>328.5</v>
      </c>
      <c r="M56" s="1">
        <f>(1.11*(657/100))*10</f>
        <v>72.927000000000007</v>
      </c>
      <c r="N56" s="1">
        <f>(7.75*(657/100))*10</f>
        <v>509.17500000000007</v>
      </c>
    </row>
    <row r="57" spans="1:14" x14ac:dyDescent="0.25">
      <c r="A57">
        <v>123456</v>
      </c>
      <c r="B57">
        <v>1975</v>
      </c>
      <c r="C57" s="1">
        <f>(1.69*(657/100))*10</f>
        <v>111.03300000000002</v>
      </c>
      <c r="D57" s="1">
        <f>(14.3*(657/100))*10</f>
        <v>939.5100000000001</v>
      </c>
      <c r="E57" s="1">
        <f>(16.74*(657/100))*10</f>
        <v>1099.818</v>
      </c>
      <c r="F57" s="1">
        <f>(18.83*(657/100))*10</f>
        <v>1237.1309999999999</v>
      </c>
      <c r="G57" s="1">
        <f>(23.58*(657/100))*10</f>
        <v>1549.2060000000001</v>
      </c>
      <c r="H57" s="1">
        <f>(35.49*(657/100))*10</f>
        <v>2331.6930000000002</v>
      </c>
      <c r="I57" s="1">
        <f>(17.49*(657/100))*10</f>
        <v>1149.0930000000001</v>
      </c>
      <c r="J57" s="1">
        <f>(6.82*(657/100))*10</f>
        <v>448.07400000000001</v>
      </c>
      <c r="K57" s="1">
        <f>(4.33*(657/100))*10</f>
        <v>284.48099999999999</v>
      </c>
      <c r="L57" s="1">
        <f>(2.15*(657/100))*10</f>
        <v>141.255</v>
      </c>
      <c r="M57" s="1">
        <f>(0.45*(657/100))*10</f>
        <v>29.565000000000001</v>
      </c>
      <c r="N57" s="1">
        <f>(12.02*(657/100))*10</f>
        <v>789.71400000000006</v>
      </c>
    </row>
    <row r="58" spans="1:14" x14ac:dyDescent="0.25">
      <c r="A58">
        <v>123456</v>
      </c>
      <c r="B58">
        <v>1976</v>
      </c>
      <c r="C58" s="1">
        <f>(21.43*(657/100))*10</f>
        <v>1407.951</v>
      </c>
      <c r="D58" s="1">
        <f>(6.37*(657/100))*10</f>
        <v>418.50900000000001</v>
      </c>
      <c r="E58" s="1">
        <f>(7.26*(657/100))*10</f>
        <v>476.98199999999997</v>
      </c>
      <c r="F58" s="1">
        <f>(13.15*(657/100))*10</f>
        <v>863.95500000000015</v>
      </c>
      <c r="G58" s="1">
        <f>(16.72*(657/100))*10</f>
        <v>1098.5039999999999</v>
      </c>
      <c r="H58" s="1">
        <f>(13.97*(657/100))*10</f>
        <v>917.82900000000018</v>
      </c>
      <c r="I58" s="1">
        <f>(4.84*(657/100))*10</f>
        <v>317.988</v>
      </c>
      <c r="J58" s="1">
        <f>(5.15*(657/100))*10</f>
        <v>338.35500000000002</v>
      </c>
      <c r="K58" s="1">
        <f>(3.05*(657/100))*10</f>
        <v>200.38499999999999</v>
      </c>
      <c r="L58" s="1">
        <f>(0*(657/100))*10</f>
        <v>0</v>
      </c>
      <c r="M58" s="1">
        <f>(0.24*(657/100))*10</f>
        <v>15.768000000000001</v>
      </c>
      <c r="N58" s="1">
        <f>(12.98*(657/100))*10</f>
        <v>852.78600000000006</v>
      </c>
    </row>
    <row r="59" spans="1:14" x14ac:dyDescent="0.25">
      <c r="A59">
        <v>123456</v>
      </c>
      <c r="B59">
        <v>1977</v>
      </c>
      <c r="C59" s="1">
        <f>(13.13*(657/100))*10</f>
        <v>862.64100000000008</v>
      </c>
      <c r="D59" s="1">
        <f>(8.85*(657/100))*10</f>
        <v>581.44500000000005</v>
      </c>
      <c r="E59" s="1">
        <f>(14.84*(657/100))*10</f>
        <v>974.98800000000006</v>
      </c>
      <c r="F59" s="1">
        <f>(13.51*(657/100))*10</f>
        <v>887.60699999999997</v>
      </c>
      <c r="G59" s="1">
        <f>(11.54*(657/100))*10</f>
        <v>758.17799999999988</v>
      </c>
      <c r="H59" s="1">
        <f>(25.25*(657/100))*10</f>
        <v>1658.9250000000002</v>
      </c>
      <c r="I59" s="1">
        <f>(12.17*(657/100))*10</f>
        <v>799.56900000000007</v>
      </c>
      <c r="J59" s="1">
        <f>(0.54*(657/100))*10</f>
        <v>35.478000000000009</v>
      </c>
      <c r="K59" s="1">
        <f>(1.24*(657/100))*10</f>
        <v>81.468000000000004</v>
      </c>
      <c r="L59" s="1">
        <f>(0.65*(657/100))*10</f>
        <v>42.704999999999998</v>
      </c>
      <c r="M59" s="1">
        <f>(2.8*(657/100))*10</f>
        <v>183.96</v>
      </c>
      <c r="N59" s="1">
        <f>(10.22*(657/100))*10</f>
        <v>671.45400000000006</v>
      </c>
    </row>
    <row r="60" spans="1:14" x14ac:dyDescent="0.25">
      <c r="A60">
        <v>123456</v>
      </c>
      <c r="B60">
        <v>1978</v>
      </c>
      <c r="C60" s="1">
        <f>(7.65*(657/100))*10</f>
        <v>502.60500000000008</v>
      </c>
      <c r="D60" s="1">
        <f>(3.58*(657/100))*10</f>
        <v>235.20600000000002</v>
      </c>
      <c r="E60" s="1">
        <f>(20.02*(657/100))*10</f>
        <v>1315.3139999999999</v>
      </c>
      <c r="F60" s="1">
        <f>(7.55*(657/100))*10</f>
        <v>496.03500000000003</v>
      </c>
      <c r="G60" s="1">
        <f>(19.85*(657/100))*10</f>
        <v>1304.145</v>
      </c>
      <c r="H60" s="1">
        <f>(3.72*(657/100))*10</f>
        <v>244.40400000000005</v>
      </c>
      <c r="I60" s="1">
        <f>(3.46*(657/100))*10</f>
        <v>227.32200000000003</v>
      </c>
      <c r="J60" s="1">
        <f>(14.3*(657/100))*10</f>
        <v>939.5100000000001</v>
      </c>
      <c r="K60" s="1">
        <f>(1.23*(657/100))*10</f>
        <v>80.811000000000007</v>
      </c>
      <c r="L60" s="1">
        <f>(8.68*(657/100))*10</f>
        <v>570.27599999999995</v>
      </c>
      <c r="M60" s="1">
        <f>(8.06*(657/100))*10</f>
        <v>529.54200000000003</v>
      </c>
      <c r="N60" s="1">
        <f>(3.76*(657/100))*10</f>
        <v>247.03199999999998</v>
      </c>
    </row>
    <row r="61" spans="1:14" x14ac:dyDescent="0.25">
      <c r="A61">
        <v>123456</v>
      </c>
      <c r="B61">
        <v>1979</v>
      </c>
      <c r="C61" s="1">
        <f>(12.89*(657/100))*10</f>
        <v>846.87300000000005</v>
      </c>
      <c r="D61" s="1">
        <f>(10.17*(657/100))*10</f>
        <v>668.1690000000001</v>
      </c>
      <c r="E61" s="1">
        <f>(11.46*(657/100))*10</f>
        <v>752.92200000000003</v>
      </c>
      <c r="F61" s="1">
        <f>(5.22*(657/100))*10</f>
        <v>342.95400000000001</v>
      </c>
      <c r="G61" s="1">
        <f>(19.64*(657/100))*10</f>
        <v>1290.3480000000002</v>
      </c>
      <c r="H61" s="1">
        <f>(6.86*(657/100))*10</f>
        <v>450.70200000000006</v>
      </c>
      <c r="I61" s="1">
        <f>(5.93*(657/100))*10</f>
        <v>389.601</v>
      </c>
      <c r="J61" s="1">
        <f>(0.47*(657/100))*10</f>
        <v>30.878999999999998</v>
      </c>
      <c r="K61" s="1">
        <f>(1.22*(657/100))*10</f>
        <v>80.153999999999996</v>
      </c>
      <c r="L61" s="1">
        <f>(0.26*(657/100))*10</f>
        <v>17.082000000000001</v>
      </c>
      <c r="M61" s="1">
        <f>(2.6*(657/100))*10</f>
        <v>170.82</v>
      </c>
      <c r="N61" s="1">
        <f>(5.36*(657/100))*10</f>
        <v>352.15200000000004</v>
      </c>
    </row>
    <row r="62" spans="1:14" x14ac:dyDescent="0.25">
      <c r="A62">
        <v>123456</v>
      </c>
      <c r="B62">
        <v>1980</v>
      </c>
      <c r="C62" s="1">
        <f>(0.45*(657/100))*10</f>
        <v>29.565000000000001</v>
      </c>
      <c r="D62" s="1">
        <f>(11.07*(657/100))*10</f>
        <v>727.29899999999998</v>
      </c>
      <c r="E62" s="1">
        <f>(3.87*(657/100))*10</f>
        <v>254.25900000000001</v>
      </c>
      <c r="F62" s="1">
        <f>(18.94*(657/100))*10</f>
        <v>1244.3580000000002</v>
      </c>
      <c r="G62" s="1">
        <f>(19.39*(657/100))*10</f>
        <v>1273.923</v>
      </c>
      <c r="H62" s="1">
        <f>(10.57*(657/100))*10</f>
        <v>694.44900000000007</v>
      </c>
      <c r="I62" s="1">
        <f>(4.18*(657/100))*10</f>
        <v>274.62599999999998</v>
      </c>
      <c r="J62" s="1">
        <f>(10.62*(657/100))*10</f>
        <v>697.73399999999992</v>
      </c>
      <c r="K62" s="1">
        <f>(5.39*(657/100))*10</f>
        <v>354.12300000000005</v>
      </c>
      <c r="L62" s="1">
        <f>(0.11*(657/100))*10</f>
        <v>7.2270000000000003</v>
      </c>
      <c r="M62" s="1">
        <f>(16.15*(657/100))*10</f>
        <v>1061.0549999999998</v>
      </c>
      <c r="N62" s="1">
        <f>(0.03*(657/100))*10</f>
        <v>1.9710000000000001</v>
      </c>
    </row>
    <row r="63" spans="1:14" x14ac:dyDescent="0.25">
      <c r="A63">
        <v>123456</v>
      </c>
      <c r="B63">
        <v>1981</v>
      </c>
      <c r="C63" s="1">
        <f>(5.21*(657/100))*10</f>
        <v>342.29700000000003</v>
      </c>
      <c r="D63" s="1">
        <f>(9.09*(657/100))*10</f>
        <v>597.21299999999997</v>
      </c>
      <c r="E63" s="1">
        <f>(11.37*(657/100))*10</f>
        <v>747.00900000000001</v>
      </c>
      <c r="F63" s="1">
        <f>(5.27*(657/100))*10</f>
        <v>346.23899999999998</v>
      </c>
      <c r="G63" s="1">
        <f>(8.46*(657/100))*10</f>
        <v>555.82200000000012</v>
      </c>
      <c r="H63" s="1">
        <f>(14.09*(657/100))*10</f>
        <v>925.71300000000008</v>
      </c>
      <c r="I63" s="1">
        <f>(12.67*(657/100))*10</f>
        <v>832.41899999999998</v>
      </c>
      <c r="J63" s="1">
        <f>(0*(657/100))*10</f>
        <v>0</v>
      </c>
      <c r="K63" s="1">
        <f>(7.42*(657/100))*10</f>
        <v>487.49400000000003</v>
      </c>
      <c r="L63" s="1">
        <f>(6.1*(657/100))*10</f>
        <v>400.77</v>
      </c>
      <c r="M63" s="1">
        <f>(0.27*(657/100))*10</f>
        <v>17.739000000000004</v>
      </c>
      <c r="N63" s="1">
        <f>(2.29*(657/100))*10</f>
        <v>150.453</v>
      </c>
    </row>
    <row r="64" spans="1:14" x14ac:dyDescent="0.25">
      <c r="A64">
        <v>123456</v>
      </c>
      <c r="B64">
        <v>1982</v>
      </c>
      <c r="C64" s="1">
        <f>(13.21*(657/100))*10</f>
        <v>867.89700000000016</v>
      </c>
      <c r="D64" s="1">
        <f>(18.47*(657/100))*10</f>
        <v>1213.479</v>
      </c>
      <c r="E64" s="1">
        <f>(2.03*(657/100))*10</f>
        <v>133.37099999999998</v>
      </c>
      <c r="F64" s="1">
        <f>(4.57*(657/100))*10</f>
        <v>300.24900000000002</v>
      </c>
      <c r="G64" s="1">
        <f>(0.95*(657/100))*10</f>
        <v>62.415000000000006</v>
      </c>
      <c r="H64" s="1">
        <f>(6.32*(657/100))*10</f>
        <v>415.22400000000005</v>
      </c>
      <c r="I64" s="1">
        <f>(9.44*(657/100))*10</f>
        <v>620.20799999999997</v>
      </c>
      <c r="J64" s="1">
        <f>(6.46*(657/100))*10</f>
        <v>424.42200000000003</v>
      </c>
      <c r="K64" s="1">
        <f>(4.25*(657/100))*10</f>
        <v>279.22500000000002</v>
      </c>
      <c r="L64" s="1">
        <f>(12.26*(657/100))*10</f>
        <v>805.48200000000008</v>
      </c>
      <c r="M64" s="1">
        <f>(0*(657/100))*10</f>
        <v>0</v>
      </c>
      <c r="N64" s="1">
        <f>(6.69*(657/100))*10</f>
        <v>439.53300000000007</v>
      </c>
    </row>
    <row r="65" spans="1:14" x14ac:dyDescent="0.25">
      <c r="A65">
        <v>123456</v>
      </c>
      <c r="B65">
        <v>1983</v>
      </c>
      <c r="C65" s="1">
        <f>(3.94*(657/100))*10</f>
        <v>258.858</v>
      </c>
      <c r="D65" s="1">
        <f>(9.26*(657/100))*10</f>
        <v>608.38200000000006</v>
      </c>
      <c r="E65" s="1">
        <f>(14.59*(657/100))*10</f>
        <v>958.5630000000001</v>
      </c>
      <c r="F65" s="1">
        <f>(6.43*(657/100))*10</f>
        <v>422.45100000000002</v>
      </c>
      <c r="G65" s="1">
        <f>(3.77*(657/100))*10</f>
        <v>247.68900000000002</v>
      </c>
      <c r="H65" s="1">
        <f>(9.66*(657/100))*10</f>
        <v>634.66200000000003</v>
      </c>
      <c r="I65" s="1">
        <f>(6.47*(657/100))*10</f>
        <v>425.07900000000001</v>
      </c>
      <c r="J65" s="1">
        <f>(8.11*(657/100))*10</f>
        <v>532.827</v>
      </c>
      <c r="K65" s="1">
        <f>(0.94*(657/100))*10</f>
        <v>61.757999999999996</v>
      </c>
      <c r="L65" s="1">
        <f>(0.46*(657/100))*10</f>
        <v>30.222000000000001</v>
      </c>
      <c r="M65" s="1">
        <f>(6.8*(657/100))*10</f>
        <v>446.76</v>
      </c>
      <c r="N65" s="1">
        <f>(0.73*(657/100))*10</f>
        <v>47.960999999999999</v>
      </c>
    </row>
    <row r="66" spans="1:14" x14ac:dyDescent="0.25">
      <c r="A66">
        <v>123456</v>
      </c>
      <c r="B66">
        <v>1984</v>
      </c>
      <c r="C66" s="1">
        <f>(10.46*(657/100))*10</f>
        <v>687.22200000000021</v>
      </c>
      <c r="D66" s="1">
        <f>(8.68*(657/100))*10</f>
        <v>570.27599999999995</v>
      </c>
      <c r="E66" s="1">
        <f>(2.83*(657/100))*10</f>
        <v>185.93099999999998</v>
      </c>
      <c r="F66" s="1">
        <f>(9.78*(657/100))*10</f>
        <v>642.54599999999994</v>
      </c>
      <c r="G66" s="1">
        <f>(21.98*(657/100))*10</f>
        <v>1444.086</v>
      </c>
      <c r="H66" s="1">
        <f>(9.11*(657/100))*10</f>
        <v>598.52700000000004</v>
      </c>
      <c r="I66" s="1">
        <f>(2.57*(657/100))*10</f>
        <v>168.84899999999999</v>
      </c>
      <c r="J66" s="1">
        <f>(0.38*(657/100))*10</f>
        <v>24.966000000000001</v>
      </c>
      <c r="K66" s="1">
        <f>(6.02*(657/100))*10</f>
        <v>395.51400000000001</v>
      </c>
      <c r="L66" s="1">
        <f>(0.14*(657/100))*10</f>
        <v>9.1980000000000022</v>
      </c>
      <c r="M66" s="1">
        <f>(0*(657/100))*10</f>
        <v>0</v>
      </c>
      <c r="N66" s="1">
        <f>(1.54*(657/100))*10</f>
        <v>101.17800000000001</v>
      </c>
    </row>
    <row r="67" spans="1:14" x14ac:dyDescent="0.25">
      <c r="A67">
        <v>123456</v>
      </c>
      <c r="B67">
        <v>1985</v>
      </c>
      <c r="C67" s="1">
        <f>(18.57*(657/100))*10</f>
        <v>1220.049</v>
      </c>
      <c r="D67" s="1">
        <f>(12.13*(657/100))*10</f>
        <v>796.94100000000003</v>
      </c>
      <c r="E67" s="1">
        <f>(21.68*(657/100))*10</f>
        <v>1424.376</v>
      </c>
      <c r="F67" s="1">
        <f>(14.89*(657/100))*10</f>
        <v>978.27300000000014</v>
      </c>
      <c r="G67" s="1">
        <f>(10.08*(657/100))*10</f>
        <v>662.25599999999997</v>
      </c>
      <c r="H67" s="1">
        <f>(8.78*(657/100))*10</f>
        <v>576.846</v>
      </c>
      <c r="I67" s="1">
        <f>(5.12*(657/100))*10</f>
        <v>336.38400000000001</v>
      </c>
      <c r="J67" s="1">
        <f>(0.08*(657/100))*10</f>
        <v>5.2560000000000002</v>
      </c>
      <c r="K67" s="1">
        <f>(3.08*(657/100))*10</f>
        <v>202.35600000000002</v>
      </c>
      <c r="L67" s="1">
        <f>(0.95*(657/100))*10</f>
        <v>62.415000000000006</v>
      </c>
      <c r="M67" s="1">
        <f>(8.48*(657/100))*10</f>
        <v>557.13600000000008</v>
      </c>
      <c r="N67" s="1">
        <f>(4.42*(657/100))*10</f>
        <v>290.39400000000001</v>
      </c>
    </row>
    <row r="68" spans="1:14" x14ac:dyDescent="0.25">
      <c r="A68">
        <v>123456</v>
      </c>
      <c r="B68">
        <v>1986</v>
      </c>
      <c r="C68" s="1">
        <f>(22.02*(657/100))*10</f>
        <v>1446.7139999999999</v>
      </c>
      <c r="D68" s="1">
        <f>(16.03*(657/100))*10</f>
        <v>1053.171</v>
      </c>
      <c r="E68" s="1">
        <f>(4.32*(657/100))*10</f>
        <v>283.82400000000007</v>
      </c>
      <c r="F68" s="1">
        <f>(1.64*(657/100))*10</f>
        <v>107.74799999999999</v>
      </c>
      <c r="G68" s="1">
        <f>(14.42*(657/100))*10</f>
        <v>947.39400000000001</v>
      </c>
      <c r="H68" s="1">
        <f>(11.66*(657/100))*10</f>
        <v>766.06200000000001</v>
      </c>
      <c r="I68" s="1">
        <f>(8.24*(657/100))*10</f>
        <v>541.36800000000005</v>
      </c>
      <c r="J68" s="1">
        <f>(0.03*(657/100))*10</f>
        <v>1.9710000000000001</v>
      </c>
      <c r="K68" s="1">
        <f>(4.05*(657/100))*10</f>
        <v>266.08499999999998</v>
      </c>
      <c r="L68" s="1">
        <f>(3.99*(657/100))*10</f>
        <v>262.14300000000003</v>
      </c>
      <c r="M68" s="1">
        <f>(3.03*(657/100))*10</f>
        <v>199.071</v>
      </c>
      <c r="N68" s="1">
        <f>(20.4*(657/100))*10</f>
        <v>1340.28</v>
      </c>
    </row>
    <row r="69" spans="1:14" x14ac:dyDescent="0.25">
      <c r="A69">
        <v>123456</v>
      </c>
      <c r="B69">
        <v>1987</v>
      </c>
      <c r="C69" s="1">
        <f>(5.72*(657/100))*10</f>
        <v>375.80399999999997</v>
      </c>
      <c r="D69" s="1">
        <f>(14.85*(657/100))*10</f>
        <v>975.64499999999998</v>
      </c>
      <c r="E69" s="1">
        <f>(5.82*(657/100))*10</f>
        <v>382.37400000000002</v>
      </c>
      <c r="F69" s="1">
        <f>(8.1*(657/100))*10</f>
        <v>532.16999999999996</v>
      </c>
      <c r="G69" s="1">
        <f>(46.38*(657/100))*10</f>
        <v>3047.1660000000002</v>
      </c>
      <c r="H69" s="1">
        <f>(15.88*(657/100))*10</f>
        <v>1043.316</v>
      </c>
      <c r="I69" s="1">
        <f>(14.11*(657/100))*10</f>
        <v>927.02700000000004</v>
      </c>
      <c r="J69" s="1">
        <f>(6.15*(657/100))*10</f>
        <v>404.05500000000006</v>
      </c>
      <c r="K69" s="1">
        <f>(0.83*(657/100))*10</f>
        <v>54.530999999999999</v>
      </c>
      <c r="L69" s="1">
        <f>(2.41*(657/100))*10</f>
        <v>158.33700000000002</v>
      </c>
      <c r="M69" s="1">
        <f>(1.68*(657/100))*10</f>
        <v>110.37599999999999</v>
      </c>
      <c r="N69" s="1">
        <f>(17.42*(657/100))*10</f>
        <v>1144.4940000000001</v>
      </c>
    </row>
    <row r="70" spans="1:14" x14ac:dyDescent="0.25">
      <c r="A70">
        <v>123456</v>
      </c>
      <c r="B70">
        <v>1988</v>
      </c>
      <c r="C70" s="1">
        <f>(7.8*(657/100))*10</f>
        <v>512.46</v>
      </c>
      <c r="D70" s="1">
        <f>(11.57*(657/100))*10</f>
        <v>760.14900000000011</v>
      </c>
      <c r="E70" s="1">
        <f>(24.91*(657/100))*10</f>
        <v>1636.587</v>
      </c>
      <c r="F70" s="1">
        <f>(18.28*(657/100))*10</f>
        <v>1200.9960000000001</v>
      </c>
      <c r="G70" s="1">
        <f>(21.84*(657/100))*10</f>
        <v>1434.8879999999999</v>
      </c>
      <c r="H70" s="1">
        <f>(11.92*(657/100))*10</f>
        <v>783.14400000000001</v>
      </c>
      <c r="I70" s="1">
        <f>(18.64*(657/100))*10</f>
        <v>1224.6480000000001</v>
      </c>
      <c r="J70" s="1">
        <f>(3.57*(657/100))*10</f>
        <v>234.54899999999998</v>
      </c>
      <c r="K70" s="1">
        <f>(2.65*(657/100))*10</f>
        <v>174.10499999999999</v>
      </c>
      <c r="L70" s="1">
        <f>(2.12*(657/100))*10</f>
        <v>139.28400000000002</v>
      </c>
      <c r="M70" s="1">
        <f>(0.79*(657/100))*10</f>
        <v>51.903000000000006</v>
      </c>
      <c r="N70" s="1">
        <f>(2.72*(657/100))*10</f>
        <v>178.70400000000004</v>
      </c>
    </row>
    <row r="71" spans="1:14" x14ac:dyDescent="0.25">
      <c r="A71">
        <v>123456</v>
      </c>
      <c r="B71">
        <v>1989</v>
      </c>
      <c r="C71" s="1">
        <f>(3.23*(657/100))*10</f>
        <v>212.21100000000001</v>
      </c>
      <c r="D71" s="1">
        <f>(23.73*(657/100))*10</f>
        <v>1559.0610000000001</v>
      </c>
      <c r="E71" s="1">
        <f>(9.82*(657/100))*10</f>
        <v>645.17400000000009</v>
      </c>
      <c r="F71" s="1">
        <f>(13.21*(657/100))*10</f>
        <v>867.89700000000016</v>
      </c>
      <c r="G71" s="1">
        <f>(5.57*(657/100))*10</f>
        <v>365.94900000000001</v>
      </c>
      <c r="H71" s="1">
        <f>(26.56*(657/100))*10</f>
        <v>1744.992</v>
      </c>
      <c r="I71" s="1">
        <f>(11.87*(657/100))*10</f>
        <v>779.85900000000004</v>
      </c>
      <c r="J71" s="1">
        <f>(0.52*(657/100))*10</f>
        <v>34.164000000000001</v>
      </c>
      <c r="K71" s="1">
        <f>(7.01*(657/100))*10</f>
        <v>460.55700000000002</v>
      </c>
      <c r="L71" s="1">
        <f>(3.01*(657/100))*10</f>
        <v>197.75700000000001</v>
      </c>
      <c r="M71" s="1">
        <f>(1.77*(657/100))*10</f>
        <v>116.289</v>
      </c>
      <c r="N71" s="1">
        <f>(1.4*(657/100))*10</f>
        <v>91.98</v>
      </c>
    </row>
    <row r="72" spans="1:14" x14ac:dyDescent="0.25">
      <c r="A72">
        <v>123456</v>
      </c>
      <c r="B72">
        <v>1990</v>
      </c>
      <c r="C72" s="1">
        <f>(1.56*(657/100))*10</f>
        <v>102.492</v>
      </c>
      <c r="D72" s="1">
        <f>(2.71*(657/100))*10</f>
        <v>178.047</v>
      </c>
      <c r="E72" s="1">
        <f>(8.94*(657/100))*10</f>
        <v>587.35799999999995</v>
      </c>
      <c r="F72" s="1">
        <f>(31*(657/100))*10</f>
        <v>2036.7000000000003</v>
      </c>
      <c r="G72" s="1">
        <f>(21.3*(657/100))*10</f>
        <v>1399.41</v>
      </c>
      <c r="H72" s="1">
        <f>(18.71*(657/100))*10</f>
        <v>1229.2470000000001</v>
      </c>
      <c r="I72" s="1">
        <f>(1.08*(657/100))*10</f>
        <v>70.956000000000017</v>
      </c>
      <c r="J72" s="1">
        <f>(0.86*(657/100))*10</f>
        <v>56.501999999999995</v>
      </c>
      <c r="K72" s="1">
        <f>(2.61*(657/100))*10</f>
        <v>171.477</v>
      </c>
      <c r="L72" s="1">
        <f>(0.4*(657/100))*10</f>
        <v>26.28</v>
      </c>
      <c r="M72" s="1">
        <f>(0.18*(657/100))*10</f>
        <v>11.826000000000001</v>
      </c>
      <c r="N72" s="1">
        <f>(8.75*(657/100))*10</f>
        <v>574.875</v>
      </c>
    </row>
    <row r="73" spans="1:14" x14ac:dyDescent="0.25">
      <c r="A73">
        <v>123456</v>
      </c>
      <c r="B73">
        <v>1991</v>
      </c>
      <c r="C73" s="1">
        <f>(35.26*(657/100))*10</f>
        <v>2316.5819999999999</v>
      </c>
      <c r="D73" s="1">
        <f>(11.29*(657/100))*10</f>
        <v>741.75299999999993</v>
      </c>
      <c r="E73" s="1">
        <f>(21.52*(657/100))*10</f>
        <v>1413.864</v>
      </c>
      <c r="F73" s="1">
        <f>(4.61*(657/100))*10</f>
        <v>302.87700000000007</v>
      </c>
      <c r="G73" s="1">
        <f>(10.03*(657/100))*10</f>
        <v>658.971</v>
      </c>
      <c r="H73" s="1">
        <f>(8.96*(657/100))*10</f>
        <v>588.67200000000014</v>
      </c>
      <c r="I73" s="1">
        <f>(4.49*(657/100))*10</f>
        <v>294.99299999999999</v>
      </c>
      <c r="J73" s="1">
        <f>(0.16*(657/100))*10</f>
        <v>10.512</v>
      </c>
      <c r="K73" s="1">
        <f>(0.31*(657/100))*10</f>
        <v>20.367000000000001</v>
      </c>
      <c r="L73" s="1">
        <f>(1.59*(657/100))*10</f>
        <v>104.46300000000001</v>
      </c>
      <c r="M73" s="1">
        <f>(5.49*(657/100))*10</f>
        <v>360.69300000000004</v>
      </c>
      <c r="N73" s="1">
        <f>(1.37*(657/100))*10</f>
        <v>90.009000000000015</v>
      </c>
    </row>
    <row r="74" spans="1:14" x14ac:dyDescent="0.25">
      <c r="A74">
        <v>123456</v>
      </c>
      <c r="B74">
        <v>1992</v>
      </c>
      <c r="C74" s="1">
        <f>(11.37*(657/100))*10</f>
        <v>747.00900000000001</v>
      </c>
      <c r="D74" s="1">
        <f>(12.76*(657/100))*10</f>
        <v>838.33200000000011</v>
      </c>
      <c r="E74" s="1">
        <f>(4.51*(657/100))*10</f>
        <v>296.30700000000002</v>
      </c>
      <c r="F74" s="1">
        <f>(8.71*(657/100))*10</f>
        <v>572.24700000000007</v>
      </c>
      <c r="G74" s="1">
        <f>(14.61*(657/100))*10</f>
        <v>959.87700000000007</v>
      </c>
      <c r="H74" s="1">
        <f>(7.78*(657/100))*10</f>
        <v>511.14600000000002</v>
      </c>
      <c r="I74" s="1">
        <f>(12.88*(657/100))*10</f>
        <v>846.21600000000012</v>
      </c>
      <c r="J74" s="1">
        <f>(1.69*(657/100))*10</f>
        <v>111.03300000000002</v>
      </c>
      <c r="K74" s="1">
        <f>(2.32*(657/100))*10</f>
        <v>152.42400000000001</v>
      </c>
      <c r="L74" s="1">
        <f>(0.2*(657/100))*10</f>
        <v>13.14</v>
      </c>
      <c r="M74" s="1">
        <f>(4.48*(657/100))*10</f>
        <v>294.33600000000007</v>
      </c>
      <c r="N74" s="1">
        <f>(0.06*(657/100))*10</f>
        <v>3.9420000000000002</v>
      </c>
    </row>
    <row r="75" spans="1:14" x14ac:dyDescent="0.25">
      <c r="A75">
        <v>123456</v>
      </c>
      <c r="B75">
        <v>1993</v>
      </c>
      <c r="C75" s="1">
        <f>(18.6*(657/100))*10</f>
        <v>1222.0200000000002</v>
      </c>
      <c r="D75" s="1">
        <f>(12.72*(657/100))*10</f>
        <v>835.70400000000006</v>
      </c>
      <c r="E75" s="1">
        <f>(16*(657/100))*10</f>
        <v>1051.2</v>
      </c>
      <c r="F75" s="1">
        <f>(22.04*(657/100))*10</f>
        <v>1448.0279999999998</v>
      </c>
      <c r="G75" s="1">
        <f>(18.5*(657/100))*10</f>
        <v>1215.45</v>
      </c>
      <c r="H75" s="1">
        <f>(10.03*(657/100))*10</f>
        <v>658.971</v>
      </c>
      <c r="I75" s="1">
        <f>(4.98*(657/100))*10</f>
        <v>327.18600000000004</v>
      </c>
      <c r="J75" s="1">
        <f>(0.64*(657/100))*10</f>
        <v>42.048000000000002</v>
      </c>
      <c r="K75" s="1">
        <f>(0.39*(657/100))*10</f>
        <v>25.623000000000001</v>
      </c>
      <c r="L75" s="1">
        <f>(3.14*(657/100))*10</f>
        <v>206.29800000000003</v>
      </c>
      <c r="M75" s="1">
        <f>(0.44*(657/100))*10</f>
        <v>28.908000000000001</v>
      </c>
      <c r="N75" s="1">
        <f>(0.86*(657/100))*10</f>
        <v>56.501999999999995</v>
      </c>
    </row>
    <row r="76" spans="1:14" x14ac:dyDescent="0.25">
      <c r="A76">
        <v>123456</v>
      </c>
      <c r="B76">
        <v>1994</v>
      </c>
      <c r="C76" s="1">
        <f>(1.6*(657/100))*10</f>
        <v>105.12</v>
      </c>
      <c r="D76" s="1">
        <f>(6.85*(657/100))*10</f>
        <v>450.04500000000002</v>
      </c>
      <c r="E76" s="1">
        <f>(3.56*(657/100))*10</f>
        <v>233.89200000000002</v>
      </c>
      <c r="F76" s="1">
        <f>(11.02*(657/100))*10</f>
        <v>724.0139999999999</v>
      </c>
      <c r="G76" s="1">
        <f>(5.65*(657/100))*10</f>
        <v>371.20500000000004</v>
      </c>
      <c r="H76" s="1">
        <f>(16.31*(657/100))*10</f>
        <v>1071.567</v>
      </c>
      <c r="I76" s="1">
        <f>(2.34*(657/100))*10</f>
        <v>153.738</v>
      </c>
      <c r="J76" s="1">
        <f>(7.15*(657/100))*10</f>
        <v>469.75500000000005</v>
      </c>
      <c r="K76" s="1">
        <f>(1.2*(657/100))*10</f>
        <v>78.84</v>
      </c>
      <c r="L76" s="1">
        <f>(0.51*(657/100))*10</f>
        <v>33.507000000000005</v>
      </c>
      <c r="M76" s="1">
        <f>(0.15*(657/100))*10</f>
        <v>9.8550000000000004</v>
      </c>
      <c r="N76" s="1">
        <f>(6*(657/100))*10</f>
        <v>394.20000000000005</v>
      </c>
    </row>
    <row r="77" spans="1:14" x14ac:dyDescent="0.25">
      <c r="A77">
        <v>123456</v>
      </c>
      <c r="B77">
        <v>1995</v>
      </c>
      <c r="C77" s="1">
        <f>(8.72*(657/100))*10</f>
        <v>572.904</v>
      </c>
      <c r="D77" s="1">
        <f>(7.73*(657/100))*10</f>
        <v>507.86100000000005</v>
      </c>
      <c r="E77" s="1">
        <f>(21.93*(657/100))*10</f>
        <v>1440.8010000000002</v>
      </c>
      <c r="F77" s="1">
        <f>(19.32*(657/100))*10</f>
        <v>1269.3240000000001</v>
      </c>
      <c r="G77" s="1">
        <f>(19.43*(657/100))*10</f>
        <v>1276.5509999999999</v>
      </c>
      <c r="H77" s="1">
        <f>(9.27*(657/100))*10</f>
        <v>609.03899999999999</v>
      </c>
      <c r="I77" s="1">
        <f>(5.79*(657/100))*10</f>
        <v>380.40300000000002</v>
      </c>
      <c r="J77" s="1">
        <f>(0.81*(657/100))*10</f>
        <v>53.217000000000006</v>
      </c>
      <c r="K77" s="1">
        <f>(0.23*(657/100))*10</f>
        <v>15.111000000000001</v>
      </c>
      <c r="L77" s="1">
        <f>(2.49*(657/100))*10</f>
        <v>163.59300000000002</v>
      </c>
      <c r="M77" s="1">
        <f>(4.54*(657/100))*10</f>
        <v>298.27800000000002</v>
      </c>
      <c r="N77" s="1">
        <f>(4.73*(657/100))*10</f>
        <v>310.76100000000002</v>
      </c>
    </row>
    <row r="78" spans="1:14" x14ac:dyDescent="0.25">
      <c r="A78">
        <v>123456</v>
      </c>
      <c r="B78">
        <v>1996</v>
      </c>
      <c r="C78" s="1">
        <f>(5.37*(657/100))*10</f>
        <v>352.80900000000003</v>
      </c>
      <c r="D78" s="1">
        <f>(31.08*(657/100))*10</f>
        <v>2041.9559999999999</v>
      </c>
      <c r="E78" s="1">
        <f>(19.11*(657/100))*10</f>
        <v>1255.527</v>
      </c>
      <c r="F78" s="1">
        <f>(14.76*(657/100))*10</f>
        <v>969.73200000000008</v>
      </c>
      <c r="G78" s="1">
        <f>(10.92*(657/100))*10</f>
        <v>717.44399999999996</v>
      </c>
      <c r="H78" s="1">
        <f>(22.26*(657/100))*10</f>
        <v>1462.4820000000002</v>
      </c>
      <c r="I78" s="1">
        <f>(12.92*(657/100))*10</f>
        <v>848.84400000000005</v>
      </c>
      <c r="J78" s="1">
        <f>(6.32*(657/100))*10</f>
        <v>415.22400000000005</v>
      </c>
      <c r="K78" s="1">
        <f>(5.82*(657/100))*10</f>
        <v>382.37400000000002</v>
      </c>
      <c r="L78" s="1">
        <f>(2.24*(657/100))*10</f>
        <v>147.16800000000003</v>
      </c>
      <c r="M78" s="1">
        <f>(2.76*(657/100))*10</f>
        <v>181.33199999999999</v>
      </c>
      <c r="N78" s="1">
        <f>(0.52*(657/100))*10</f>
        <v>34.164000000000001</v>
      </c>
    </row>
    <row r="79" spans="1:14" x14ac:dyDescent="0.25">
      <c r="A79">
        <v>123456</v>
      </c>
      <c r="B79">
        <v>1997</v>
      </c>
      <c r="C79" s="1">
        <f>(3.74*(657/100))*10</f>
        <v>245.71800000000002</v>
      </c>
      <c r="D79" s="1">
        <f>(2.87*(657/100))*10</f>
        <v>188.55900000000003</v>
      </c>
      <c r="E79" s="1">
        <f>(4.85*(657/100))*10</f>
        <v>318.64499999999998</v>
      </c>
      <c r="F79" s="1">
        <f>(12.33*(657/100))*10</f>
        <v>810.08100000000002</v>
      </c>
      <c r="G79" s="1">
        <f>(20.97*(657/100))*10</f>
        <v>1377.7289999999998</v>
      </c>
      <c r="H79" s="1">
        <f>(23.83*(657/100))*10</f>
        <v>1565.6309999999999</v>
      </c>
      <c r="I79" s="1">
        <f>(4.59*(657/100))*10</f>
        <v>301.56299999999999</v>
      </c>
      <c r="J79" s="1">
        <f>(6.46*(657/100))*10</f>
        <v>424.42200000000003</v>
      </c>
      <c r="K79" s="1">
        <f>(0.45*(657/100))*10</f>
        <v>29.565000000000001</v>
      </c>
      <c r="L79" s="1">
        <f>(0.67*(657/100))*10</f>
        <v>44.019000000000005</v>
      </c>
      <c r="M79" s="1">
        <f>(1.66*(657/100))*10</f>
        <v>109.062</v>
      </c>
      <c r="N79" s="1">
        <f>(4*(657/100))*10</f>
        <v>262.8</v>
      </c>
    </row>
    <row r="80" spans="1:14" x14ac:dyDescent="0.25">
      <c r="A80">
        <v>123456</v>
      </c>
      <c r="B80">
        <v>1998</v>
      </c>
      <c r="C80" s="1">
        <f>(8.71*(657/100))*10</f>
        <v>572.24700000000007</v>
      </c>
      <c r="D80" s="1">
        <f>(26.34*(657/100))*10</f>
        <v>1730.538</v>
      </c>
      <c r="E80" s="1">
        <f>(12.88*(657/100))*10</f>
        <v>846.21600000000012</v>
      </c>
      <c r="F80" s="1">
        <f>(5.99*(657/100))*10</f>
        <v>393.54300000000001</v>
      </c>
      <c r="G80" s="1">
        <f>(7.04*(657/100))*10</f>
        <v>462.52800000000002</v>
      </c>
      <c r="H80" s="1">
        <f>(4.09*(657/100))*10</f>
        <v>268.71300000000002</v>
      </c>
      <c r="I80" s="1">
        <f>(2.33*(657/100))*10</f>
        <v>153.08100000000002</v>
      </c>
      <c r="J80" s="1">
        <f>(3.22*(657/100))*10</f>
        <v>211.55400000000003</v>
      </c>
      <c r="K80" s="1">
        <f>(0.17*(657/100))*10</f>
        <v>11.169000000000002</v>
      </c>
      <c r="L80" s="1">
        <f>(1.04*(657/100))*10</f>
        <v>68.328000000000003</v>
      </c>
      <c r="M80" s="1">
        <f>(0.03*(657/100))*10</f>
        <v>1.9710000000000001</v>
      </c>
      <c r="N80" s="1">
        <f>(0.67*(657/100))*10</f>
        <v>44.019000000000005</v>
      </c>
    </row>
    <row r="81" spans="1:14" x14ac:dyDescent="0.25">
      <c r="A81">
        <v>123456</v>
      </c>
      <c r="B81">
        <v>1999</v>
      </c>
      <c r="C81" s="1">
        <f>(1.9*(657/100))*10</f>
        <v>124.83000000000001</v>
      </c>
      <c r="D81" s="1">
        <f>(0.69*(657/100))*10</f>
        <v>45.332999999999998</v>
      </c>
      <c r="E81" s="1">
        <f>(9.78*(657/100))*10</f>
        <v>642.54599999999994</v>
      </c>
      <c r="F81" s="1">
        <f>(17.37*(657/100))*10</f>
        <v>1141.2090000000001</v>
      </c>
      <c r="G81" s="1">
        <f>(15.69*(657/100))*10</f>
        <v>1030.8329999999999</v>
      </c>
      <c r="H81" s="1">
        <f>(17.07*(657/100))*10</f>
        <v>1121.499</v>
      </c>
      <c r="I81" s="1">
        <f>(7.6*(657/100))*10</f>
        <v>499.32000000000005</v>
      </c>
      <c r="J81" s="1">
        <f>(2.48*(657/100))*10</f>
        <v>162.93600000000001</v>
      </c>
      <c r="K81" s="1">
        <f>(3.14*(657/100))*10</f>
        <v>206.29800000000003</v>
      </c>
      <c r="L81" s="1">
        <f>(0.63*(657/100))*10</f>
        <v>41.390999999999998</v>
      </c>
      <c r="M81" s="1">
        <f>(0.38*(657/100))*10</f>
        <v>24.966000000000001</v>
      </c>
      <c r="N81" s="1">
        <f>(11.48*(657/100))*10</f>
        <v>754.2360000000001</v>
      </c>
    </row>
    <row r="82" spans="1:14" x14ac:dyDescent="0.25">
      <c r="A82">
        <v>123456</v>
      </c>
      <c r="B82">
        <v>2000</v>
      </c>
      <c r="C82" s="1">
        <f>(7.43*(657/100))*10</f>
        <v>488.15100000000001</v>
      </c>
      <c r="D82" s="1">
        <f>(14.32*(657/100))*10</f>
        <v>940.82400000000007</v>
      </c>
      <c r="E82" s="1">
        <f>(9.84*(657/100))*10</f>
        <v>646.48800000000006</v>
      </c>
      <c r="F82" s="1">
        <f>(10.19*(657/100))*10</f>
        <v>669.48300000000006</v>
      </c>
      <c r="G82" s="1">
        <f>(10.29*(657/100))*10</f>
        <v>676.053</v>
      </c>
      <c r="H82" s="1">
        <f>(10.77*(657/100))*10</f>
        <v>707.58899999999994</v>
      </c>
      <c r="I82" s="1">
        <f>(15.45*(657/100))*10</f>
        <v>1015.0650000000001</v>
      </c>
      <c r="J82" s="1">
        <f>(4.5*(657/100))*10</f>
        <v>295.65000000000003</v>
      </c>
      <c r="K82" s="1">
        <f>(2.04*(657/100))*10</f>
        <v>134.02800000000002</v>
      </c>
      <c r="L82" s="1">
        <f>(1.3*(657/100))*10</f>
        <v>85.41</v>
      </c>
      <c r="M82" s="1">
        <f>(6.65*(657/100))*10</f>
        <v>436.90500000000009</v>
      </c>
      <c r="N82" s="1">
        <f>(7.7*(657/100))*10</f>
        <v>505.89000000000004</v>
      </c>
    </row>
    <row r="83" spans="1:14" x14ac:dyDescent="0.25">
      <c r="A83">
        <v>123456</v>
      </c>
      <c r="B83">
        <v>2001</v>
      </c>
      <c r="C83" s="1">
        <f>(9.54*(657/100))*10</f>
        <v>626.77800000000002</v>
      </c>
      <c r="D83" s="1">
        <f>(32.3*(657/100))*10</f>
        <v>2122.1099999999997</v>
      </c>
      <c r="E83" s="1">
        <f>(21.35*(657/100))*10</f>
        <v>1402.6950000000002</v>
      </c>
      <c r="F83" s="1">
        <f>(18.28*(657/100))*10</f>
        <v>1200.9960000000001</v>
      </c>
      <c r="G83" s="1">
        <f>(10.14*(657/100))*10</f>
        <v>666.19800000000009</v>
      </c>
      <c r="H83" s="1">
        <f>(11.6*(657/100))*10</f>
        <v>762.12</v>
      </c>
      <c r="I83" s="1">
        <f>(8.2*(657/100))*10</f>
        <v>538.74</v>
      </c>
      <c r="J83" s="1">
        <f>(8.72*(657/100))*10</f>
        <v>572.904</v>
      </c>
      <c r="K83" s="1">
        <f>(3.88*(657/100))*10</f>
        <v>254.91600000000003</v>
      </c>
      <c r="L83" s="1">
        <f>(3.24*(657/100))*10</f>
        <v>212.86800000000002</v>
      </c>
      <c r="M83" s="1">
        <f>(21.06*(657/100))*10</f>
        <v>1383.6420000000001</v>
      </c>
      <c r="N83" s="1">
        <f>(8.73*(657/100))*10</f>
        <v>573.56100000000004</v>
      </c>
    </row>
    <row r="84" spans="1:14" x14ac:dyDescent="0.25">
      <c r="A84">
        <v>123456</v>
      </c>
      <c r="B84">
        <v>2002</v>
      </c>
      <c r="C84" s="1">
        <f>(2.22*(657/100))*10</f>
        <v>145.85400000000001</v>
      </c>
      <c r="D84" s="1">
        <f>(5.44*(657/100))*10</f>
        <v>357.40800000000007</v>
      </c>
      <c r="E84" s="1">
        <f>(14.04*(657/100))*10</f>
        <v>922.428</v>
      </c>
      <c r="F84" s="1">
        <f>(10.5*(657/100))*10</f>
        <v>689.85</v>
      </c>
      <c r="G84" s="1">
        <f>(9.1*(657/100))*10</f>
        <v>597.87</v>
      </c>
      <c r="H84" s="1">
        <f>(7.11*(657/100))*10</f>
        <v>467.12700000000007</v>
      </c>
      <c r="I84" s="1">
        <f>(3.96*(657/100))*10</f>
        <v>260.17200000000003</v>
      </c>
      <c r="J84" s="1">
        <f>(2.97*(657/100))*10</f>
        <v>195.12900000000002</v>
      </c>
      <c r="K84" s="1">
        <f>(0.01*(657/100))*10</f>
        <v>0.65700000000000003</v>
      </c>
      <c r="L84" s="1">
        <f>(0.02*(657/100))*10</f>
        <v>1.3140000000000001</v>
      </c>
      <c r="M84" s="1">
        <f>(2.57*(657/100))*10</f>
        <v>168.84899999999999</v>
      </c>
      <c r="N84" s="1">
        <f>(1.69*(657/100))*10</f>
        <v>111.03300000000002</v>
      </c>
    </row>
    <row r="85" spans="1:14" x14ac:dyDescent="0.25">
      <c r="A85">
        <v>123456</v>
      </c>
      <c r="B85">
        <v>2003</v>
      </c>
      <c r="C85" s="1">
        <f>(4.76*(657/100))*10</f>
        <v>312.73199999999997</v>
      </c>
      <c r="D85" s="1">
        <f>(5.37*(657/100))*10</f>
        <v>352.80900000000003</v>
      </c>
      <c r="E85" s="1">
        <f>(8.43*(657/100))*10</f>
        <v>553.851</v>
      </c>
      <c r="F85" s="1">
        <f>(14.78*(657/100))*10</f>
        <v>971.04600000000005</v>
      </c>
      <c r="G85" s="1">
        <f>(21.43*(657/100))*10</f>
        <v>1407.951</v>
      </c>
      <c r="H85" s="1">
        <f>(23.55*(657/100))*10</f>
        <v>1547.2350000000001</v>
      </c>
      <c r="I85" s="1">
        <f>(12.53*(657/100))*10</f>
        <v>823.221</v>
      </c>
      <c r="J85" s="1">
        <f>(0.16*(657/100))*10</f>
        <v>10.512</v>
      </c>
      <c r="K85" s="1">
        <f>(1.35*(657/100))*10</f>
        <v>88.695000000000007</v>
      </c>
      <c r="L85" s="1">
        <f>(0.97*(657/100))*10</f>
        <v>63.729000000000006</v>
      </c>
      <c r="M85" s="1">
        <f>(2.53*(657/100))*10</f>
        <v>166.221</v>
      </c>
      <c r="N85" s="1">
        <f>(13.92*(657/100))*10</f>
        <v>914.5440000000001</v>
      </c>
    </row>
    <row r="86" spans="1:14" x14ac:dyDescent="0.25">
      <c r="A86">
        <v>123456</v>
      </c>
      <c r="B86">
        <v>2004</v>
      </c>
      <c r="C86" s="1">
        <f>(4.57*(657/100))*10</f>
        <v>300.24900000000002</v>
      </c>
      <c r="D86" s="1">
        <f>(8.13*(657/100))*10</f>
        <v>534.14100000000008</v>
      </c>
      <c r="E86" s="1">
        <f>(13.54*(657/100))*10</f>
        <v>889.57799999999997</v>
      </c>
      <c r="F86" s="1">
        <f>(16.45*(657/100))*10</f>
        <v>1080.7649999999999</v>
      </c>
      <c r="G86" s="1">
        <f>(10.77*(657/100))*10</f>
        <v>707.58899999999994</v>
      </c>
      <c r="H86" s="1">
        <f>(8.11*(657/100))*10</f>
        <v>532.827</v>
      </c>
      <c r="I86" s="1">
        <f>(8.16*(657/100))*10</f>
        <v>536.11200000000008</v>
      </c>
      <c r="J86" s="1">
        <f>(6.57*(657/100))*10</f>
        <v>431.649</v>
      </c>
      <c r="K86" s="1">
        <f>(2.2*(657/100))*10</f>
        <v>144.54000000000002</v>
      </c>
      <c r="L86" s="1">
        <f>(0.22*(657/100))*10</f>
        <v>14.454000000000001</v>
      </c>
      <c r="M86" s="1">
        <f>(4.91*(657/100))*10</f>
        <v>322.58700000000005</v>
      </c>
      <c r="N86" s="1">
        <f>(1.08*(657/100))*10</f>
        <v>70.956000000000017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rainfall_test1</vt:lpstr>
      <vt:lpstr>rainfall_test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Bennie Haasbroek</dc:creator>
  <cp:lastModifiedBy>Bennie Haasbroek</cp:lastModifiedBy>
  <dcterms:created xsi:type="dcterms:W3CDTF">2010-07-29T13:56:17Z</dcterms:created>
  <dcterms:modified xsi:type="dcterms:W3CDTF">2010-08-03T08:44:09Z</dcterms:modified>
</cp:coreProperties>
</file>