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5"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E20" i="60397"/>
  <c r="E20" i="60385"/>
  <c r="E20" i="60384"/>
  <c r="H24" i="60395" l="1"/>
  <c r="H23"/>
  <c r="G24" i="60386"/>
  <c r="G1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B12"/>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V4" i="60392"/>
  <c r="T43" i="60391"/>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AL3" i="60392" l="1"/>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K18" s="1"/>
  <c r="F18" s="1"/>
  <c r="H28" s="1"/>
  <c r="E8"/>
  <c r="B5" i="60395"/>
  <c r="B12" s="1"/>
  <c r="N24"/>
  <c r="N23"/>
  <c r="L9"/>
  <c r="L8"/>
  <c r="B9"/>
  <c r="B16" s="1"/>
  <c r="C27" i="60391"/>
  <c r="F28" i="60392" s="1"/>
  <c r="C7" i="60391"/>
  <c r="U9" l="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B2"/>
  <c r="B36" s="1"/>
  <c r="K37"/>
  <c r="I37"/>
  <c r="H37"/>
  <c r="G37"/>
  <c r="F37"/>
  <c r="E37"/>
  <c r="D37"/>
  <c r="E36"/>
  <c r="D2"/>
  <c r="D36" s="1"/>
  <c r="A2"/>
  <c r="A36" s="1"/>
  <c r="D2" i="60393"/>
  <c r="D35" s="1"/>
  <c r="B2"/>
  <c r="B35" s="1"/>
  <c r="C2"/>
  <c r="C35" s="1"/>
  <c r="A2"/>
  <c r="A35" s="1"/>
  <c r="E10" i="60392"/>
  <c r="E9"/>
  <c r="E8"/>
  <c r="E7"/>
  <c r="E6"/>
  <c r="E5"/>
  <c r="G10"/>
  <c r="G9"/>
  <c r="F9"/>
  <c r="G8"/>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Z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V25" s="1"/>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F10" i="60392" l="1"/>
  <c r="Z10" s="1"/>
  <c r="BS9" i="60391"/>
  <c r="BO9"/>
  <c r="BR9"/>
  <c r="BN9"/>
  <c r="BQ9"/>
  <c r="BM9"/>
  <c r="BP9"/>
  <c r="BL9"/>
  <c r="BI8"/>
  <c r="BE8"/>
  <c r="BH8"/>
  <c r="BD8"/>
  <c r="BK8"/>
  <c r="BG8"/>
  <c r="BJ8"/>
  <c r="BF8"/>
  <c r="Z8" i="60392"/>
  <c r="Z9"/>
  <c r="CL9" s="1"/>
  <c r="H31" i="60397"/>
  <c r="F7" i="4" s="1"/>
  <c r="G22" s="1"/>
  <c r="CF4" i="60392"/>
  <c r="CJ4"/>
  <c r="CE4"/>
  <c r="BM4"/>
  <c r="BV4" s="1"/>
  <c r="CG4"/>
  <c r="BO4"/>
  <c r="BX4" s="1"/>
  <c r="CI4"/>
  <c r="BQ4"/>
  <c r="BZ4" s="1"/>
  <c r="CK4"/>
  <c r="BS4"/>
  <c r="CB4" s="1"/>
  <c r="CM4"/>
  <c r="BU4"/>
  <c r="CD4" s="1"/>
  <c r="CH4"/>
  <c r="CA3" i="60391"/>
  <c r="BK3"/>
  <c r="BS3" s="1"/>
  <c r="F6" i="60392"/>
  <c r="Z5"/>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F27" i="60392"/>
  <c r="Z27" s="1"/>
  <c r="CJ27" s="1"/>
  <c r="F7"/>
  <c r="Z7" s="1"/>
  <c r="CD30"/>
  <c r="BZ30"/>
  <c r="BV30"/>
  <c r="CA30"/>
  <c r="BW30"/>
  <c r="CB30"/>
  <c r="BX30"/>
  <c r="CC30"/>
  <c r="BY30"/>
  <c r="BT29"/>
  <c r="BP29"/>
  <c r="BS29"/>
  <c r="BO29"/>
  <c r="BR29"/>
  <c r="BN29"/>
  <c r="BU29"/>
  <c r="BQ29"/>
  <c r="BM29"/>
  <c r="CL4"/>
  <c r="X6"/>
  <c r="Y6"/>
  <c r="X8"/>
  <c r="Y8"/>
  <c r="X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G8"/>
  <c r="BK8"/>
  <c r="BL8"/>
  <c r="BE8"/>
  <c r="Z25"/>
  <c r="CL25" s="1"/>
  <c r="CG33"/>
  <c r="CG35"/>
  <c r="CG37"/>
  <c r="CG39"/>
  <c r="CG41"/>
  <c r="CG43"/>
  <c r="CK45"/>
  <c r="CK49"/>
  <c r="CK53"/>
  <c r="CK57"/>
  <c r="CG102"/>
  <c r="CG121"/>
  <c r="CL5"/>
  <c r="CJ5"/>
  <c r="CH5"/>
  <c r="CF5"/>
  <c r="CM5"/>
  <c r="CK5"/>
  <c r="CI5"/>
  <c r="CG5"/>
  <c r="CE5"/>
  <c r="CL7"/>
  <c r="CJ7"/>
  <c r="CH7"/>
  <c r="CF7"/>
  <c r="CM7"/>
  <c r="CK7"/>
  <c r="CI7"/>
  <c r="CG7"/>
  <c r="CE7"/>
  <c r="CJ9"/>
  <c r="CF9"/>
  <c r="CK9"/>
  <c r="CG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H27"/>
  <c r="CM27"/>
  <c r="CI27"/>
  <c r="CE27"/>
  <c r="CM61"/>
  <c r="CK61"/>
  <c r="CI61"/>
  <c r="CG61"/>
  <c r="CE61"/>
  <c r="CJ61"/>
  <c r="CF61"/>
  <c r="CH61"/>
  <c r="CL61"/>
  <c r="CL6"/>
  <c r="CJ6"/>
  <c r="CH6"/>
  <c r="CF6"/>
  <c r="CM6"/>
  <c r="CK6"/>
  <c r="CI6"/>
  <c r="CG6"/>
  <c r="CE6"/>
  <c r="CL8"/>
  <c r="CJ8"/>
  <c r="CH8"/>
  <c r="CF8"/>
  <c r="CM8"/>
  <c r="CK8"/>
  <c r="CI8"/>
  <c r="CG8"/>
  <c r="CE8"/>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Z26"/>
  <c r="BX26"/>
  <c r="BV26"/>
  <c r="BT26"/>
  <c r="CA26"/>
  <c r="BY26"/>
  <c r="BW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BH28" i="60392" l="1"/>
  <c r="H29" i="60395" s="1"/>
  <c r="BI28" i="60392"/>
  <c r="BJ28"/>
  <c r="I41" i="60394" s="1"/>
  <c r="BF28" i="60392"/>
  <c r="CG27"/>
  <c r="CK27"/>
  <c r="CF27"/>
  <c r="BG28"/>
  <c r="BE28"/>
  <c r="D41" i="60394" s="1"/>
  <c r="CL10" i="60392"/>
  <c r="CH10"/>
  <c r="CM10"/>
  <c r="CI10"/>
  <c r="CE10"/>
  <c r="CJ10"/>
  <c r="CF10"/>
  <c r="CK10"/>
  <c r="CG10"/>
  <c r="CE9"/>
  <c r="CI9"/>
  <c r="CM9"/>
  <c r="CH9"/>
  <c r="Y10"/>
  <c r="I8" i="60394"/>
  <c r="J15" i="60395"/>
  <c r="K15"/>
  <c r="J8" i="60394"/>
  <c r="H15" i="60395"/>
  <c r="G8" i="60394"/>
  <c r="I15" i="60395"/>
  <c r="H8" i="60394"/>
  <c r="G9"/>
  <c r="H16" i="60395"/>
  <c r="I16"/>
  <c r="H9" i="60394"/>
  <c r="J16" i="60395"/>
  <c r="I9" i="60394"/>
  <c r="K16" i="60395"/>
  <c r="J9" i="60394"/>
  <c r="F15" i="60395"/>
  <c r="E8" i="60394"/>
  <c r="F8"/>
  <c r="G15" i="60395"/>
  <c r="D15"/>
  <c r="C8" i="60394"/>
  <c r="E15" i="60395"/>
  <c r="D8" i="60394"/>
  <c r="D16" i="60395"/>
  <c r="C9" i="60394"/>
  <c r="D9"/>
  <c r="E16" i="60395"/>
  <c r="F16"/>
  <c r="E9" i="60394"/>
  <c r="G16" i="60395"/>
  <c r="F9" i="60394"/>
  <c r="CD10" i="60392"/>
  <c r="BZ10"/>
  <c r="BV10"/>
  <c r="CC10"/>
  <c r="BY10"/>
  <c r="CB10"/>
  <c r="BX10"/>
  <c r="CA10"/>
  <c r="BW10"/>
  <c r="BT9"/>
  <c r="BP9"/>
  <c r="BS9"/>
  <c r="BO9"/>
  <c r="BR9"/>
  <c r="BN9"/>
  <c r="BU9"/>
  <c r="BQ9"/>
  <c r="BM9"/>
  <c r="D29" i="60395"/>
  <c r="U5" i="60392"/>
  <c r="K41" i="60394"/>
  <c r="BB27" i="60392"/>
  <c r="AZ7"/>
  <c r="BB27" i="60391"/>
  <c r="AZ27"/>
  <c r="AX27"/>
  <c r="AV27"/>
  <c r="BC27"/>
  <c r="BA27"/>
  <c r="AY27"/>
  <c r="AW27"/>
  <c r="BC7"/>
  <c r="BA7"/>
  <c r="AY7"/>
  <c r="AW7"/>
  <c r="BB7"/>
  <c r="AZ7"/>
  <c r="AX7"/>
  <c r="AV7"/>
  <c r="J29" i="60395"/>
  <c r="F29"/>
  <c r="E41" i="60394"/>
  <c r="I29" i="60395"/>
  <c r="H41" i="60394"/>
  <c r="E40"/>
  <c r="F28" i="60395"/>
  <c r="L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E29" i="60395" l="1"/>
  <c r="M29" s="1"/>
  <c r="E22" i="60397" s="1"/>
  <c r="E23" s="1"/>
  <c r="C5" i="60387"/>
  <c r="E12"/>
  <c r="E13" s="1"/>
  <c r="L16" i="60395"/>
  <c r="L15"/>
  <c r="E12" i="60386"/>
  <c r="E13" s="1"/>
  <c r="C5"/>
  <c r="J19" i="60397"/>
  <c r="H30" i="60395"/>
  <c r="G42" i="60394"/>
  <c r="E30" i="60395"/>
  <c r="D42" i="60394"/>
  <c r="F30" i="60395"/>
  <c r="E42" i="60394"/>
  <c r="F42"/>
  <c r="G30" i="60395"/>
  <c r="E31"/>
  <c r="D43" i="60394"/>
  <c r="F31" i="60395"/>
  <c r="E43" i="60394"/>
  <c r="G31" i="60395"/>
  <c r="F43" i="60394"/>
  <c r="D31" i="60395"/>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H13"/>
  <c r="I13"/>
  <c r="J13"/>
  <c r="G13"/>
  <c r="J6" i="60394"/>
  <c r="G11" i="60395"/>
  <c r="C4" i="60394"/>
  <c r="F11" i="60395"/>
  <c r="I11"/>
  <c r="G4" i="60394"/>
  <c r="J4"/>
  <c r="J11" i="60395"/>
  <c r="E11"/>
  <c r="G40" i="60394"/>
  <c r="C40"/>
  <c r="F40"/>
  <c r="H6"/>
  <c r="I6"/>
  <c r="F6"/>
  <c r="G6"/>
  <c r="K13" i="60395"/>
  <c r="H28"/>
  <c r="L28"/>
  <c r="J40" i="60394"/>
  <c r="C6"/>
  <c r="D12" i="60395"/>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C7" i="60394"/>
  <c r="H14" i="60395"/>
  <c r="G7" i="60394"/>
  <c r="E14" i="60395"/>
  <c r="D7" i="60394"/>
  <c r="I14" i="60395"/>
  <c r="H7" i="60394"/>
  <c r="D28" i="60395"/>
  <c r="E28"/>
  <c r="I28"/>
  <c r="I40" i="60394"/>
  <c r="G28" i="60395"/>
  <c r="K28"/>
  <c r="F13"/>
  <c r="E6" i="60394"/>
  <c r="E13" i="60395"/>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J20" i="60397" l="1"/>
  <c r="J21" s="1"/>
  <c r="E21" s="1"/>
  <c r="F29" s="1"/>
  <c r="G29" s="1"/>
  <c r="N29" i="60395"/>
  <c r="L13"/>
  <c r="M30"/>
  <c r="E22" i="60386" s="1"/>
  <c r="E23" s="1"/>
  <c r="C5" i="60384"/>
  <c r="C5" i="60397"/>
  <c r="C5" i="1"/>
  <c r="M28" i="60395"/>
  <c r="E22" i="60385" s="1"/>
  <c r="E23" s="1"/>
  <c r="M31" i="60395"/>
  <c r="E19" i="60386"/>
  <c r="E20" s="1"/>
  <c r="N30" i="60395"/>
  <c r="N31"/>
  <c r="L11"/>
  <c r="C5" i="60385"/>
  <c r="L14" i="60395"/>
  <c r="L12"/>
  <c r="E39" i="60394"/>
  <c r="F27" i="60395"/>
  <c r="G39" i="60394"/>
  <c r="H27" i="60395"/>
  <c r="D39" i="60394"/>
  <c r="E27" i="60395"/>
  <c r="H39" i="60394"/>
  <c r="I27" i="60395"/>
  <c r="I39" i="60394"/>
  <c r="J27" i="60395"/>
  <c r="K39" i="60394"/>
  <c r="L27" i="60395"/>
  <c r="C39" i="60394"/>
  <c r="D27" i="60395"/>
  <c r="F39" i="60394"/>
  <c r="G27" i="60395"/>
  <c r="J39" i="60394"/>
  <c r="K27" i="60395"/>
  <c r="N28"/>
  <c r="D26"/>
  <c r="K38" i="60394"/>
  <c r="K26" i="60395"/>
  <c r="I38" i="60394"/>
  <c r="I26" i="60395"/>
  <c r="G38" i="60394"/>
  <c r="G26" i="60395"/>
  <c r="E38" i="60394"/>
  <c r="E26" i="60395"/>
  <c r="B10" i="60387"/>
  <c r="B10" i="60386"/>
  <c r="B10" i="60385"/>
  <c r="B10" i="60384"/>
  <c r="B10" i="1"/>
  <c r="E22" i="60387" l="1"/>
  <c r="E23" s="1"/>
  <c r="J23" s="1"/>
  <c r="E19"/>
  <c r="M26" i="60395"/>
  <c r="M27"/>
  <c r="J13" i="60385"/>
  <c r="J12"/>
  <c r="J23" i="60397"/>
  <c r="J22"/>
  <c r="J13"/>
  <c r="J12"/>
  <c r="N26" i="60395"/>
  <c r="N27"/>
  <c r="H10" i="4"/>
  <c r="K30" i="60387"/>
  <c r="B30"/>
  <c r="K29"/>
  <c r="B29"/>
  <c r="K28"/>
  <c r="K31" s="1"/>
  <c r="B28"/>
  <c r="K24"/>
  <c r="K23"/>
  <c r="K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J23"/>
  <c r="K22"/>
  <c r="K20"/>
  <c r="J20"/>
  <c r="K19"/>
  <c r="K21" s="1"/>
  <c r="F21" s="1"/>
  <c r="H29" s="1"/>
  <c r="J19"/>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J21" i="60384" l="1"/>
  <c r="E21" s="1"/>
  <c r="F29" s="1"/>
  <c r="G29" s="1"/>
  <c r="J22" i="60387"/>
  <c r="E20" i="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J14" i="60397"/>
  <c r="E14" i="60386"/>
  <c r="J14" s="1"/>
  <c r="J16" i="60397"/>
  <c r="J17" i="1"/>
  <c r="G14" i="4"/>
  <c r="J24" i="60387"/>
  <c r="J25" s="1"/>
  <c r="E25" s="1"/>
  <c r="F30" s="1"/>
  <c r="G30" s="1"/>
  <c r="J17" i="60384"/>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1" s="1"/>
  <c r="G13" s="1"/>
  <c r="G12" s="1"/>
  <c r="G19"/>
  <c r="G21" s="1"/>
  <c r="G20" s="1"/>
  <c r="F32" i="60397" s="1"/>
  <c r="F19" i="4"/>
  <c r="F21" s="1"/>
  <c r="F20" s="1"/>
  <c r="F32" i="60385" s="1"/>
  <c r="A9" i="60394"/>
  <c r="A43" s="1"/>
  <c r="F32" i="60387"/>
  <c r="A8" i="60394"/>
  <c r="A42" s="1"/>
  <c r="F32" i="60386"/>
  <c r="D19" i="4"/>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<sst xmlns="http://schemas.openxmlformats.org/spreadsheetml/2006/main" count="1037" uniqueCount="226">
  <si>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</si>
  <si>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</si>
  <si>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</si>
  <si>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</si>
  <si>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</si>
  <si>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</si>
  <si>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</si>
  <si>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</si>
  <si>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</si>
  <si>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</si>
  <si>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</si>
  <si>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</si>
  <si>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</si>
  <si>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</si>
  <si>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</si>
  <si>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</si>
  <si>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</si>
  <si>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</si>
  <si>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</si>
  <si>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</si>
  <si>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</si>
  <si>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</si>
  <si>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</si>
  <si>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</si>
  <si>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</si>
  <si>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</si>
  <si>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</si>
  <si>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</si>
  <si>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</si>
  <si>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</si>
  <si>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</si>
  <si>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</si>
  <si>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</si>
  <si>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</si>
  <si>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</si>
  <si>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</si>
  <si>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</si>
  <si>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</si>
  <si>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</si>
  <si>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</si>
  <si>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</si>
  <si>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</si>
  <si>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</si>
  <si>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</si>
  <si>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</si>
  <si>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</si>
  <si>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</si>
  <si>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</si>
  <si>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</si>
  <si>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</si>
  <si>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</si>
  <si>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</si>
  <si>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</si>
  <si>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</si>
  <si>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</si>
  <si>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</si>
  <si>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</si>
  <si>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</si>
  <si>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</si>
  <si>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</si>
  <si>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</si>
  <si>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</si>
  <si>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</si>
  <si>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</si>
  <si>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</si>
  <si>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</si>
  <si>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</si>
  <si>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</si>
  <si>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</si>
  <si>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</si>
  <si>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</si>
  <si>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</si>
  <si>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</si>
  <si>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</si>
  <si>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</si>
  <si>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</si>
  <si>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</si>
  <si>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</si>
  <si>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</si>
  <si>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</si>
  <si>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</si>
  <si>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</si>
  <si>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</si>
  <si>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</si>
  <si>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</si>
  <si>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</si>
  <si>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</si>
  <si>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</si>
  <si>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</si>
  <si>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</si>
  <si>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</si>
  <si>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</si>
  <si>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</si>
  <si>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</si>
  <si>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</si>
  <si>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</si>
  <si>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</si>
  <si>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</si>
  <si>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</si>
  <si>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</si>
  <si>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</si>
  <si>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</si>
  <si>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</si>
  <si>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</si>
  <si>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</si>
  <si>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</si>
  <si>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</si>
  <si>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</si>
  <si>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</si>
  <si>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</si>
  <si>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</si>
  <si>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</si>
  <si>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</si>
  <si>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</si>
  <si>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</si>
  <si>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</si>
  <si>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</si>
  <si>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</si>
  <si>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</si>
  <si>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</si>
  <si>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</si>
  <si>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</si>
  <si>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</si>
  <si>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</si>
  <si>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</si>
  <si>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</si>
  <si>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</si>
  <si>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</si>
  <si>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</si>
  <si>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</si>
  <si>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</si>
  <si>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</si>
  <si>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</si>
  <si>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</si>
  <si>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</si>
  <si>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</si>
  <si>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</si>
  <si>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</si>
  <si>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</si>
  <si>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</si>
  <si>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</si>
  <si>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</si>
  <si>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</si>
  <si>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</si>
  <si>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</si>
  <si>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</si>
  <si>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</si>
  <si>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</si>
  <si>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</si>
  <si>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</si>
  <si>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</si>
  <si>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</si>
  <si>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</si>
  <si>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</si>
  <si>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</si>
  <si>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</si>
  <si>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</si>
  <si>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</si>
  <si>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</si>
  <si>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</si>
  <si>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</si>
  <si>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</si>
  <si>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</si>
  <si>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</si>
  <si>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</si>
  <si>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</si>
  <si>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</si>
  <si>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</si>
  <si>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</si>
  <si>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</si>
  <si>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</si>
  <si>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</si>
  <si>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</si>
  <si>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</si>
  <si>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</si>
  <si>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</si>
  <si>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</si>
  <si>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</si>
  <si>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</si>
  <si>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</si>
  <si>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</si>
  <si>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</si>
  <si>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</si>
  <si>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</si>
  <si>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</si>
  <si>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</si>
  <si>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</si>
  <si>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</si>
  <si>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</si>
  <si>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</si>
  <si>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Other</t>
  </si>
  <si>
    <t>Litter</t>
  </si>
  <si>
    <t>Mooi / Vaal @ OSEAH 11 3</t>
  </si>
  <si>
    <t>extreme shading by alien trees, frequent walking, fishing and recreational use, trampling high, and incised</t>
  </si>
  <si>
    <t>80% cover by alien tree and shrub species</t>
  </si>
  <si>
    <t>regulation from Potch Dam upstream, the presence of Typha suggests loss of variability in flows</t>
  </si>
  <si>
    <t>possible increase in nutrients suggested by Typha capensis and Pontedeira</t>
  </si>
  <si>
    <t>absent and replaced by alien species</t>
  </si>
  <si>
    <t>severely reduced due to aliens and shading</t>
  </si>
  <si>
    <t>markedly increased by tall alien trees</t>
  </si>
  <si>
    <t>absent</t>
  </si>
  <si>
    <t>only alien species observed</t>
  </si>
  <si>
    <t>not present at site, and not expected</t>
  </si>
  <si>
    <t>significant reduction due to shading by alien woody species</t>
  </si>
  <si>
    <t>as above</t>
  </si>
  <si>
    <t>complete change due to shading</t>
  </si>
  <si>
    <t>reduced by alien woody species</t>
  </si>
  <si>
    <t>mostly alien species observed</t>
  </si>
  <si>
    <t>LB, shaded by alien woody species; RB parkland</t>
  </si>
  <si>
    <t>70% alien woody and non-woody cover</t>
  </si>
  <si>
    <t>no response by vegetation</t>
  </si>
  <si>
    <t>reduced due to alien woody species</t>
  </si>
  <si>
    <t>marked increase due to tall alien trees</t>
  </si>
  <si>
    <t>none observed for indigenous species</t>
  </si>
  <si>
    <t>altered by aliens, some indigenous species lost</t>
  </si>
  <si>
    <t>reduced due to aliens, mowing and landuse</t>
  </si>
  <si>
    <t>dominated by non-woody vegetation, a mix of sedges and hydrophylic dicots and grasses</t>
  </si>
  <si>
    <t>same as Marginal zone</t>
  </si>
  <si>
    <t>dominated by grasses</t>
  </si>
  <si>
    <t>where present (not at this site), dominated by grassland</t>
  </si>
  <si>
    <t>narrow, incised, mostly open due to extensive shading from alien woody species, especially taller trees such as Salix babylonica and poplars. Mostly open fine alluvium or dominated by exposed roots</t>
  </si>
  <si>
    <t>same as Marginal zone, with large cover by Pyracantha angustifolia</t>
  </si>
  <si>
    <t>RB: dominated by mowed parkland with planted alien trees which cause marked shading, dominant non-woody species is Bromus and several weed species. LB &amp; mid-channle bar: extensively dominated by dense woody vegetation and deep shade, mostly alien species, bu also with Celtis africana, Searsia pyroides, S. lancea and some open grassed areas on the terrace with a healthy population of Crinum bulbispermum (Declining).</t>
  </si>
  <si>
    <t>same as the Upper zone</t>
  </si>
  <si>
    <t>not rated</t>
  </si>
  <si>
    <t>Grassland Biome, with Rand Highveld Grassland vegetation type (Mucina &amp; Rutherford, 2006)</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</si>
</sst>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80">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164" fontId="0" fillId="5" borderId="80" xfId="0" applyNumberFormat="1" applyFill="1" applyBorder="1" applyAlignment="1" applyProtection="1">
      <alignment horizontal="center" vertical="center"/>
      <protection locked="0"/>
    </xf>
    <xf numFmtId="164" fontId="1" fillId="5" borderId="41" xfId="0" applyNumberFormat="1" applyFont="1" applyFill="1" applyBorder="1" applyAlignment="1" applyProtection="1">
      <alignment horizontal="center" vertical="center"/>
      <protection locked="0"/>
    </xf>
    <xf numFmtId="164" fontId="2" fillId="5" borderId="41" xfId="1" applyNumberFormat="1" applyFill="1" applyBorder="1" applyAlignment="1" applyProtection="1">
      <alignment horizontal="center" vertical="center"/>
      <protection locked="0"/>
    </xf>
    <xf numFmtId="164" fontId="2" fillId="5" borderId="43" xfId="1" applyNumberFormat="1" applyFill="1" applyBorder="1" applyAlignment="1" applyProtection="1">
      <alignment horizontal="center" vertical="center"/>
      <protection locked="0"/>
    </xf>
    <xf numFmtId="164" fontId="0" fillId="5" borderId="39" xfId="0" applyNumberFormat="1" applyFill="1" applyBorder="1" applyAlignment="1" applyProtection="1">
      <alignment horizontal="center" vertical="center"/>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49" fontId="11" fillId="0" borderId="9"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10</c:v>
                </c:pt>
                <c:pt idx="1">
                  <c:v>0</c:v>
                </c:pt>
                <c:pt idx="2">
                  <c:v>70</c:v>
                </c:pt>
                <c:pt idx="3">
                  <c:v>0</c:v>
                </c:pt>
                <c:pt idx="4">
                  <c:v>20</c:v>
                </c:pt>
                <c:pt idx="5">
                  <c:v>0</c:v>
                </c:pt>
                <c:pt idx="6">
                  <c:v>0</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20</c:v>
                </c:pt>
                <c:pt idx="1">
                  <c:v>0</c:v>
                </c:pt>
                <c:pt idx="2">
                  <c:v>60</c:v>
                </c:pt>
                <c:pt idx="3">
                  <c:v>0</c:v>
                </c:pt>
                <c:pt idx="4">
                  <c:v>20</c:v>
                </c:pt>
                <c:pt idx="5">
                  <c:v>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10</c:v>
                </c:pt>
                <c:pt idx="2">
                  <c:v>55</c:v>
                </c:pt>
                <c:pt idx="3">
                  <c:v>0</c:v>
                </c:pt>
                <c:pt idx="4">
                  <c:v>5</c:v>
                </c:pt>
                <c:pt idx="5">
                  <c:v>0</c:v>
                </c:pt>
                <c:pt idx="6">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110555520"/>
        <c:axId val="110557056"/>
      </c:barChart>
      <c:catAx>
        <c:axId val="110555520"/>
        <c:scaling>
          <c:orientation val="minMax"/>
        </c:scaling>
        <c:axPos val="b"/>
        <c:tickLblPos val="nextTo"/>
        <c:crossAx val="110557056"/>
        <c:crosses val="autoZero"/>
        <c:auto val="1"/>
        <c:lblAlgn val="ctr"/>
        <c:lblOffset val="100"/>
      </c:catAx>
      <c:valAx>
        <c:axId val="110557056"/>
        <c:scaling>
          <c:orientation val="minMax"/>
        </c:scaling>
        <c:axPos val="l"/>
        <c:numFmt formatCode="General" sourceLinked="1"/>
        <c:tickLblPos val="nextTo"/>
        <c:crossAx val="110555520"/>
        <c:crosses val="autoZero"/>
        <c:crossBetween val="between"/>
      </c:valAx>
    </c:plotArea>
    <c:legend>
      <c:legendPos val="b"/>
    </c:legend>
    <c:plotVisOnly val="1"/>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50188800"/>
        <c:axId val="150190336"/>
      </c:barChart>
      <c:catAx>
        <c:axId val="150188800"/>
        <c:scaling>
          <c:orientation val="minMax"/>
        </c:scaling>
        <c:axPos val="b"/>
        <c:tickLblPos val="nextTo"/>
        <c:crossAx val="150190336"/>
        <c:crosses val="autoZero"/>
        <c:auto val="1"/>
        <c:lblAlgn val="ctr"/>
        <c:lblOffset val="100"/>
      </c:catAx>
      <c:valAx>
        <c:axId val="150190336"/>
        <c:scaling>
          <c:orientation val="minMax"/>
        </c:scaling>
        <c:axPos val="l"/>
        <c:numFmt formatCode="General" sourceLinked="1"/>
        <c:tickLblPos val="nextTo"/>
        <c:crossAx val="150188800"/>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50442368"/>
        <c:axId val="150443904"/>
      </c:barChart>
      <c:catAx>
        <c:axId val="150442368"/>
        <c:scaling>
          <c:orientation val="minMax"/>
        </c:scaling>
        <c:axPos val="b"/>
        <c:tickLblPos val="nextTo"/>
        <c:crossAx val="150443904"/>
        <c:crosses val="autoZero"/>
        <c:auto val="1"/>
        <c:lblAlgn val="ctr"/>
        <c:lblOffset val="100"/>
      </c:catAx>
      <c:valAx>
        <c:axId val="150443904"/>
        <c:scaling>
          <c:orientation val="minMax"/>
        </c:scaling>
        <c:axPos val="l"/>
        <c:numFmt formatCode="General" sourceLinked="1"/>
        <c:tickLblPos val="nextTo"/>
        <c:crossAx val="150442368"/>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50369408"/>
        <c:axId val="150370944"/>
      </c:barChart>
      <c:catAx>
        <c:axId val="150369408"/>
        <c:scaling>
          <c:orientation val="minMax"/>
        </c:scaling>
        <c:axPos val="b"/>
        <c:tickLblPos val="nextTo"/>
        <c:crossAx val="150370944"/>
        <c:crosses val="autoZero"/>
        <c:auto val="1"/>
        <c:lblAlgn val="ctr"/>
        <c:lblOffset val="100"/>
      </c:catAx>
      <c:valAx>
        <c:axId val="150370944"/>
        <c:scaling>
          <c:orientation val="minMax"/>
        </c:scaling>
        <c:axPos val="l"/>
        <c:numFmt formatCode="General" sourceLinked="1"/>
        <c:tickLblPos val="nextTo"/>
        <c:crossAx val="150369408"/>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50750336"/>
        <c:axId val="150751872"/>
      </c:barChart>
      <c:catAx>
        <c:axId val="150750336"/>
        <c:scaling>
          <c:orientation val="minMax"/>
        </c:scaling>
        <c:axPos val="b"/>
        <c:tickLblPos val="nextTo"/>
        <c:crossAx val="150751872"/>
        <c:crosses val="autoZero"/>
        <c:auto val="1"/>
        <c:lblAlgn val="ctr"/>
        <c:lblOffset val="100"/>
      </c:catAx>
      <c:valAx>
        <c:axId val="150751872"/>
        <c:scaling>
          <c:orientation val="minMax"/>
        </c:scaling>
        <c:axPos val="l"/>
        <c:numFmt formatCode="General" sourceLinked="1"/>
        <c:tickLblPos val="nextTo"/>
        <c:crossAx val="150750336"/>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45E-2"/>
          <c:y val="6.9825436408977579E-2"/>
          <c:w val="0.88493209876129986"/>
          <c:h val="0.60847880299252155"/>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summary'!$C$4:$C$9</c:f>
              <c:numCache>
                <c:formatCode>0.0</c:formatCode>
                <c:ptCount val="6"/>
                <c:pt idx="0">
                  <c:v>0</c:v>
                </c:pt>
                <c:pt idx="1">
                  <c:v>9.1666666666666661</c:v>
                </c:pt>
                <c:pt idx="2">
                  <c:v>5.833333333333333</c:v>
                </c:pt>
                <c:pt idx="3">
                  <c:v>0</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summary'!$D$4:$D$9</c:f>
              <c:numCache>
                <c:formatCode>0.0</c:formatCode>
                <c:ptCount val="6"/>
                <c:pt idx="0">
                  <c:v>0</c:v>
                </c:pt>
                <c:pt idx="1">
                  <c:v>0</c:v>
                </c:pt>
                <c:pt idx="2">
                  <c:v>0</c:v>
                </c:pt>
                <c:pt idx="3">
                  <c:v>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summary'!$E$4:$E$9</c:f>
              <c:numCache>
                <c:formatCode>0.0</c:formatCode>
                <c:ptCount val="6"/>
                <c:pt idx="0">
                  <c:v>5</c:v>
                </c:pt>
                <c:pt idx="1">
                  <c:v>5</c:v>
                </c:pt>
                <c:pt idx="2">
                  <c:v>21.666666666666668</c:v>
                </c:pt>
                <c:pt idx="3">
                  <c:v>27.5</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summary'!$F$4:$F$9</c:f>
              <c:numCache>
                <c:formatCode>0.0</c:formatCode>
                <c:ptCount val="6"/>
                <c:pt idx="0">
                  <c:v>80</c:v>
                </c:pt>
                <c:pt idx="1">
                  <c:v>80</c:v>
                </c:pt>
                <c:pt idx="2">
                  <c:v>67.5</c:v>
                </c:pt>
                <c:pt idx="3">
                  <c:v>65</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summary'!$G$4:$G$9</c:f>
              <c:numCache>
                <c:formatCode>0.0</c:formatCode>
                <c:ptCount val="6"/>
                <c:pt idx="0">
                  <c:v>15</c:v>
                </c:pt>
                <c:pt idx="1">
                  <c:v>5.833333333333333</c:v>
                </c:pt>
                <c:pt idx="2">
                  <c:v>5</c:v>
                </c:pt>
                <c:pt idx="3">
                  <c:v>7.5</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summary'!$H$4:$H$9</c:f>
              <c:numCache>
                <c:formatCode>0.0</c:formatCode>
                <c:ptCount val="6"/>
                <c:pt idx="0">
                  <c:v>0</c:v>
                </c:pt>
                <c:pt idx="1">
                  <c:v>0</c:v>
                </c:pt>
                <c:pt idx="2">
                  <c:v>0</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summary'!$I$4:$I$9</c:f>
              <c:numCache>
                <c:formatCode>0.0</c:formatCode>
                <c:ptCount val="6"/>
                <c:pt idx="0">
                  <c:v>0</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(E/F)</c:v>
                </c:pt>
                <c:pt idx="1">
                  <c:v>Lower Zone: (E/F)</c:v>
                </c:pt>
                <c:pt idx="2">
                  <c:v>Upper Zone: (D/E)</c:v>
                </c:pt>
                <c:pt idx="3">
                  <c:v>Upper MCB Zone: (D/E)</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51089920"/>
        <c:axId val="151091456"/>
      </c:barChart>
      <c:catAx>
        <c:axId val="151089920"/>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51091456"/>
        <c:crosses val="autoZero"/>
        <c:auto val="1"/>
        <c:lblAlgn val="ctr"/>
        <c:lblOffset val="100"/>
        <c:tickLblSkip val="1"/>
        <c:tickMarkSkip val="1"/>
      </c:catAx>
      <c:valAx>
        <c:axId val="151091456"/>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51089920"/>
        <c:crosses val="autoZero"/>
        <c:crossBetween val="between"/>
      </c:valAx>
      <c:spPr>
        <a:noFill/>
        <a:ln w="25400">
          <a:noFill/>
        </a:ln>
      </c:spPr>
    </c:plotArea>
    <c:legend>
      <c:legendPos val="b"/>
      <c:layout>
        <c:manualLayout>
          <c:xMode val="edge"/>
          <c:yMode val="edge"/>
          <c:x val="1.0079172647188448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55"/>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summary'!$C$38:$C$43</c:f>
              <c:numCache>
                <c:formatCode>0.0</c:formatCode>
                <c:ptCount val="6"/>
                <c:pt idx="0">
                  <c:v>0</c:v>
                </c:pt>
                <c:pt idx="1">
                  <c:v>0</c:v>
                </c:pt>
                <c:pt idx="2">
                  <c:v>0</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summary'!$D$38:$D$43</c:f>
              <c:numCache>
                <c:formatCode>0.0</c:formatCode>
                <c:ptCount val="6"/>
                <c:pt idx="0">
                  <c:v>2.5</c:v>
                </c:pt>
                <c:pt idx="1">
                  <c:v>0.83333333333333337</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summary'!$E$38:$E$43</c:f>
              <c:numCache>
                <c:formatCode>0.0</c:formatCode>
                <c:ptCount val="6"/>
                <c:pt idx="0">
                  <c:v>0</c:v>
                </c:pt>
                <c:pt idx="1">
                  <c:v>0</c:v>
                </c:pt>
                <c:pt idx="2">
                  <c:v>0</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summary'!$F$38:$F$43</c:f>
              <c:numCache>
                <c:formatCode>0.0</c:formatCode>
                <c:ptCount val="6"/>
                <c:pt idx="0">
                  <c:v>5</c:v>
                </c:pt>
                <c:pt idx="1">
                  <c:v>5</c:v>
                </c:pt>
                <c:pt idx="2">
                  <c:v>2.9166666666666665</c:v>
                </c:pt>
                <c:pt idx="3">
                  <c:v>2.5</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summary'!$G$38:$G$43</c:f>
              <c:numCache>
                <c:formatCode>0.0</c:formatCode>
                <c:ptCount val="6"/>
                <c:pt idx="0">
                  <c:v>92.5</c:v>
                </c:pt>
                <c:pt idx="1">
                  <c:v>93.333333333333329</c:v>
                </c:pt>
                <c:pt idx="2">
                  <c:v>34.166666666666664</c:v>
                </c:pt>
                <c:pt idx="3">
                  <c:v>32.5</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summary'!$H$38:$H$43</c:f>
              <c:numCache>
                <c:formatCode>0.0</c:formatCode>
                <c:ptCount val="6"/>
                <c:pt idx="0">
                  <c:v>0</c:v>
                </c:pt>
                <c:pt idx="1">
                  <c:v>0.83333333333333337</c:v>
                </c:pt>
                <c:pt idx="2">
                  <c:v>30</c:v>
                </c:pt>
                <c:pt idx="3">
                  <c:v>37.5</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summary'!$I$38:$I$43</c:f>
              <c:numCache>
                <c:formatCode>0.0</c:formatCode>
                <c:ptCount val="6"/>
                <c:pt idx="0">
                  <c:v>0</c:v>
                </c:pt>
                <c:pt idx="1">
                  <c:v>0</c:v>
                </c:pt>
                <c:pt idx="2">
                  <c:v>2.9166666666666665</c:v>
                </c:pt>
                <c:pt idx="3">
                  <c:v>2.5</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summary'!$J$38:$J$43</c:f>
              <c:numCache>
                <c:formatCode>0.0</c:formatCode>
                <c:ptCount val="6"/>
                <c:pt idx="0">
                  <c:v>0</c:v>
                </c:pt>
                <c:pt idx="1">
                  <c:v>0</c:v>
                </c:pt>
                <c:pt idx="2">
                  <c:v>11.666666666666666</c:v>
                </c:pt>
                <c:pt idx="3">
                  <c:v>10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(E/F)</c:v>
                </c:pt>
                <c:pt idx="1">
                  <c:v>Lower Zone: (E/F)</c:v>
                </c:pt>
                <c:pt idx="2">
                  <c:v>Upper Zone: (D/E)</c:v>
                </c:pt>
                <c:pt idx="3">
                  <c:v>Upper MCB Zone: (D/E)</c:v>
                </c:pt>
                <c:pt idx="4">
                  <c:v>Floodplain Zone: ()</c:v>
                </c:pt>
                <c:pt idx="5">
                  <c:v>Wetland Zone: ()</c:v>
                </c:pt>
              </c:strCache>
            </c:strRef>
          </c:cat>
          <c:val>
            <c:numRef>
              <c:f>'Zone summary'!$K$38:$K$43</c:f>
              <c:numCache>
                <c:formatCode>0.0</c:formatCode>
                <c:ptCount val="6"/>
                <c:pt idx="0">
                  <c:v>0</c:v>
                </c:pt>
                <c:pt idx="1">
                  <c:v>0</c:v>
                </c:pt>
                <c:pt idx="2">
                  <c:v>18.333333333333332</c:v>
                </c:pt>
                <c:pt idx="3">
                  <c:v>15</c:v>
                </c:pt>
                <c:pt idx="4">
                  <c:v>0</c:v>
                </c:pt>
                <c:pt idx="5">
                  <c:v>0</c:v>
                </c:pt>
              </c:numCache>
            </c:numRef>
          </c:val>
        </c:ser>
        <c:axId val="150868736"/>
        <c:axId val="150870272"/>
      </c:barChart>
      <c:catAx>
        <c:axId val="150868736"/>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50870272"/>
        <c:crosses val="autoZero"/>
        <c:auto val="1"/>
        <c:lblAlgn val="ctr"/>
        <c:lblOffset val="100"/>
        <c:tickLblSkip val="1"/>
        <c:tickMarkSkip val="1"/>
      </c:catAx>
      <c:valAx>
        <c:axId val="150870272"/>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50868736"/>
        <c:crosses val="autoZero"/>
        <c:crossBetween val="between"/>
      </c:valAx>
      <c:spPr>
        <a:noFill/>
        <a:ln w="25400">
          <a:noFill/>
        </a:ln>
      </c:spPr>
    </c:plotArea>
    <c:legend>
      <c:legendPos val="b"/>
      <c:layout>
        <c:manualLayout>
          <c:xMode val="edge"/>
          <c:yMode val="edge"/>
          <c:x val="1.3227721534808213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84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11"/>
          <c:w val="0.96758817921830309"/>
          <c:h val="0.15584415584415678"/>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22"/>
          <c:h val="0.71518987341772478"/>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4.5209580838323351</c:v>
                </c:pt>
                <c:pt idx="1">
                  <c:v>0</c:v>
                </c:pt>
                <c:pt idx="2">
                  <c:v>22.365269461077844</c:v>
                </c:pt>
                <c:pt idx="3">
                  <c:v>67.425149700598809</c:v>
                </c:pt>
                <c:pt idx="4">
                  <c:v>5.6886227544910177</c:v>
                </c:pt>
                <c:pt idx="5">
                  <c:v>0</c:v>
                </c:pt>
                <c:pt idx="6">
                  <c:v>0</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89"/>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56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10</c:v>
                </c:pt>
                <c:pt idx="1">
                  <c:v>0</c:v>
                </c:pt>
                <c:pt idx="2">
                  <c:v>70</c:v>
                </c:pt>
                <c:pt idx="3">
                  <c:v>0</c:v>
                </c:pt>
                <c:pt idx="4">
                  <c:v>20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0</c:v>
                </c:pt>
                <c:pt idx="1">
                  <c:v>0</c:v>
                </c:pt>
                <c:pt idx="2">
                  <c:v>5</c:v>
                </c:pt>
                <c:pt idx="3">
                  <c:v>80</c:v>
                </c:pt>
                <c:pt idx="4">
                  <c:v>15</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6881920"/>
        <c:axId val="146904192"/>
      </c:barChart>
      <c:catAx>
        <c:axId val="146881920"/>
        <c:scaling>
          <c:orientation val="minMax"/>
        </c:scaling>
        <c:axPos val="b"/>
        <c:tickLblPos val="nextTo"/>
        <c:crossAx val="146904192"/>
        <c:crosses val="autoZero"/>
        <c:auto val="1"/>
        <c:lblAlgn val="ctr"/>
        <c:lblOffset val="100"/>
      </c:catAx>
      <c:valAx>
        <c:axId val="146904192"/>
        <c:scaling>
          <c:orientation val="minMax"/>
        </c:scaling>
        <c:axPos val="l"/>
        <c:numFmt formatCode="General" sourceLinked="1"/>
        <c:tickLblPos val="nextTo"/>
        <c:crossAx val="146881920"/>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33"/>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0</c:v>
                </c:pt>
                <c:pt idx="1">
                  <c:v>5.9523809523809521E-2</c:v>
                </c:pt>
                <c:pt idx="2">
                  <c:v>0</c:v>
                </c:pt>
                <c:pt idx="3">
                  <c:v>2.9166666666666665</c:v>
                </c:pt>
                <c:pt idx="4">
                  <c:v>36.577380952380949</c:v>
                </c:pt>
                <c:pt idx="5">
                  <c:v>30.386904761904763</c:v>
                </c:pt>
                <c:pt idx="6">
                  <c:v>2.6785714285714284</c:v>
                </c:pt>
                <c:pt idx="7">
                  <c:v>10.714285714285714</c:v>
                </c:pt>
                <c:pt idx="8">
                  <c:v>16.666666666666668</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0</c:v>
                </c:pt>
                <c:pt idx="1">
                  <c:v>0</c:v>
                </c:pt>
                <c:pt idx="2">
                  <c:v>30</c:v>
                </c:pt>
                <c:pt idx="3">
                  <c:v>20</c:v>
                </c:pt>
                <c:pt idx="4">
                  <c:v>25</c:v>
                </c:pt>
                <c:pt idx="5">
                  <c:v>20</c:v>
                </c:pt>
                <c:pt idx="6">
                  <c:v>5</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0</c:v>
                </c:pt>
                <c:pt idx="1">
                  <c:v>2.5</c:v>
                </c:pt>
                <c:pt idx="2">
                  <c:v>0</c:v>
                </c:pt>
                <c:pt idx="3">
                  <c:v>5</c:v>
                </c:pt>
                <c:pt idx="4">
                  <c:v>92.5</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6931072"/>
        <c:axId val="146936960"/>
      </c:barChart>
      <c:catAx>
        <c:axId val="146931072"/>
        <c:scaling>
          <c:orientation val="minMax"/>
        </c:scaling>
        <c:axPos val="b"/>
        <c:tickLblPos val="nextTo"/>
        <c:crossAx val="146936960"/>
        <c:crosses val="autoZero"/>
        <c:auto val="1"/>
        <c:lblAlgn val="ctr"/>
        <c:lblOffset val="100"/>
      </c:catAx>
      <c:valAx>
        <c:axId val="146936960"/>
        <c:scaling>
          <c:orientation val="minMax"/>
        </c:scaling>
        <c:axPos val="l"/>
        <c:numFmt formatCode="General" sourceLinked="1"/>
        <c:tickLblPos val="nextTo"/>
        <c:crossAx val="146931072"/>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20</c:v>
                </c:pt>
                <c:pt idx="1">
                  <c:v>0</c:v>
                </c:pt>
                <c:pt idx="2">
                  <c:v>60</c:v>
                </c:pt>
                <c:pt idx="3">
                  <c:v>0</c:v>
                </c:pt>
                <c:pt idx="4">
                  <c:v>20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9.1666666666666661</c:v>
                </c:pt>
                <c:pt idx="1">
                  <c:v>0</c:v>
                </c:pt>
                <c:pt idx="2">
                  <c:v>5</c:v>
                </c:pt>
                <c:pt idx="3">
                  <c:v>80</c:v>
                </c:pt>
                <c:pt idx="4">
                  <c:v>5.833333333333333</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7317504"/>
        <c:axId val="147319040"/>
      </c:barChart>
      <c:catAx>
        <c:axId val="147317504"/>
        <c:scaling>
          <c:orientation val="minMax"/>
        </c:scaling>
        <c:axPos val="b"/>
        <c:tickLblPos val="nextTo"/>
        <c:crossAx val="147319040"/>
        <c:crosses val="autoZero"/>
        <c:auto val="1"/>
        <c:lblAlgn val="ctr"/>
        <c:lblOffset val="100"/>
      </c:catAx>
      <c:valAx>
        <c:axId val="147319040"/>
        <c:scaling>
          <c:orientation val="minMax"/>
        </c:scaling>
        <c:axPos val="l"/>
        <c:numFmt formatCode="General" sourceLinked="1"/>
        <c:tickLblPos val="nextTo"/>
        <c:crossAx val="147317504"/>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0</c:v>
                </c:pt>
                <c:pt idx="1">
                  <c:v>0</c:v>
                </c:pt>
                <c:pt idx="2">
                  <c:v>20</c:v>
                </c:pt>
                <c:pt idx="3">
                  <c:v>20</c:v>
                </c:pt>
                <c:pt idx="4">
                  <c:v>30</c:v>
                </c:pt>
                <c:pt idx="5">
                  <c:v>25</c:v>
                </c:pt>
                <c:pt idx="6">
                  <c:v>5</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0</c:v>
                </c:pt>
                <c:pt idx="1">
                  <c:v>0.83333333333333337</c:v>
                </c:pt>
                <c:pt idx="2">
                  <c:v>0</c:v>
                </c:pt>
                <c:pt idx="3">
                  <c:v>5</c:v>
                </c:pt>
                <c:pt idx="4">
                  <c:v>93.333333333333329</c:v>
                </c:pt>
                <c:pt idx="5">
                  <c:v>0.83333333333333337</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7231872"/>
        <c:axId val="147233408"/>
      </c:barChart>
      <c:catAx>
        <c:axId val="147231872"/>
        <c:scaling>
          <c:orientation val="minMax"/>
        </c:scaling>
        <c:axPos val="b"/>
        <c:tickLblPos val="nextTo"/>
        <c:crossAx val="147233408"/>
        <c:crosses val="autoZero"/>
        <c:auto val="1"/>
        <c:lblAlgn val="ctr"/>
        <c:lblOffset val="100"/>
      </c:catAx>
      <c:valAx>
        <c:axId val="147233408"/>
        <c:scaling>
          <c:orientation val="minMax"/>
        </c:scaling>
        <c:axPos val="l"/>
        <c:numFmt formatCode="General" sourceLinked="1"/>
        <c:tickLblPos val="nextTo"/>
        <c:crossAx val="147231872"/>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02E-2"/>
          <c:w val="0.73869858456439885"/>
          <c:h val="0.61528212374524782"/>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5.833333333333333</c:v>
                </c:pt>
                <c:pt idx="1">
                  <c:v>0</c:v>
                </c:pt>
                <c:pt idx="2">
                  <c:v>21.666666666666668</c:v>
                </c:pt>
                <c:pt idx="3">
                  <c:v>67.5</c:v>
                </c:pt>
                <c:pt idx="4">
                  <c:v>5</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4861056"/>
        <c:axId val="144862592"/>
      </c:barChart>
      <c:catAx>
        <c:axId val="144861056"/>
        <c:scaling>
          <c:orientation val="minMax"/>
        </c:scaling>
        <c:axPos val="b"/>
        <c:tickLblPos val="nextTo"/>
        <c:crossAx val="144862592"/>
        <c:crosses val="autoZero"/>
        <c:auto val="1"/>
        <c:lblAlgn val="ctr"/>
        <c:lblOffset val="100"/>
      </c:catAx>
      <c:valAx>
        <c:axId val="144862592"/>
        <c:scaling>
          <c:orientation val="minMax"/>
        </c:scaling>
        <c:axPos val="l"/>
        <c:numFmt formatCode="General" sourceLinked="1"/>
        <c:tickLblPos val="nextTo"/>
        <c:crossAx val="144861056"/>
        <c:crosses val="autoZero"/>
        <c:crossBetween val="between"/>
      </c:valAx>
      <c:spPr>
        <a:ln>
          <a:noFill/>
        </a:ln>
      </c:spPr>
    </c:plotArea>
    <c:legend>
      <c:legendPos val="r"/>
      <c:layout>
        <c:manualLayout>
          <c:xMode val="edge"/>
          <c:yMode val="edge"/>
          <c:x val="0.5922712300722075"/>
          <c:y val="6.3825868872604385E-2"/>
          <c:w val="0.23116619766626209"/>
          <c:h val="0.25632474296706803"/>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0</c:v>
                </c:pt>
                <c:pt idx="1">
                  <c:v>0</c:v>
                </c:pt>
                <c:pt idx="2">
                  <c:v>0</c:v>
                </c:pt>
                <c:pt idx="3">
                  <c:v>10</c:v>
                </c:pt>
                <c:pt idx="4">
                  <c:v>10</c:v>
                </c:pt>
                <c:pt idx="5">
                  <c:v>75</c:v>
                </c:pt>
                <c:pt idx="6">
                  <c:v>5</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0</c:v>
                </c:pt>
                <c:pt idx="1">
                  <c:v>0</c:v>
                </c:pt>
                <c:pt idx="2">
                  <c:v>0</c:v>
                </c:pt>
                <c:pt idx="3">
                  <c:v>2.9166666666666665</c:v>
                </c:pt>
                <c:pt idx="4">
                  <c:v>34.166666666666664</c:v>
                </c:pt>
                <c:pt idx="5">
                  <c:v>30</c:v>
                </c:pt>
                <c:pt idx="6">
                  <c:v>2.9166666666666665</c:v>
                </c:pt>
                <c:pt idx="7">
                  <c:v>11.666666666666666</c:v>
                </c:pt>
                <c:pt idx="8">
                  <c:v>18.333333333333332</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9960192"/>
        <c:axId val="149961728"/>
      </c:barChart>
      <c:catAx>
        <c:axId val="149960192"/>
        <c:scaling>
          <c:orientation val="minMax"/>
        </c:scaling>
        <c:axPos val="b"/>
        <c:tickLblPos val="nextTo"/>
        <c:crossAx val="149961728"/>
        <c:crosses val="autoZero"/>
        <c:auto val="1"/>
        <c:lblAlgn val="ctr"/>
        <c:lblOffset val="100"/>
      </c:catAx>
      <c:valAx>
        <c:axId val="149961728"/>
        <c:scaling>
          <c:orientation val="minMax"/>
        </c:scaling>
        <c:axPos val="l"/>
        <c:numFmt formatCode="General" sourceLinked="1"/>
        <c:tickLblPos val="nextTo"/>
        <c:crossAx val="149960192"/>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10</c:v>
                </c:pt>
                <c:pt idx="2">
                  <c:v>55</c:v>
                </c:pt>
                <c:pt idx="3">
                  <c:v>0</c:v>
                </c:pt>
                <c:pt idx="4">
                  <c:v>5</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0</c:v>
                </c:pt>
                <c:pt idx="1">
                  <c:v>0</c:v>
                </c:pt>
                <c:pt idx="2">
                  <c:v>27.5</c:v>
                </c:pt>
                <c:pt idx="3">
                  <c:v>65</c:v>
                </c:pt>
                <c:pt idx="4">
                  <c:v>7.5</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9621760"/>
        <c:axId val="149627648"/>
      </c:barChart>
      <c:catAx>
        <c:axId val="149621760"/>
        <c:scaling>
          <c:orientation val="minMax"/>
        </c:scaling>
        <c:axPos val="b"/>
        <c:tickLblPos val="nextTo"/>
        <c:crossAx val="149627648"/>
        <c:crosses val="autoZero"/>
        <c:auto val="1"/>
        <c:lblAlgn val="ctr"/>
        <c:lblOffset val="100"/>
      </c:catAx>
      <c:valAx>
        <c:axId val="149627648"/>
        <c:scaling>
          <c:orientation val="minMax"/>
        </c:scaling>
        <c:axPos val="l"/>
        <c:numFmt formatCode="General" sourceLinked="1"/>
        <c:tickLblPos val="nextTo"/>
        <c:crossAx val="149621760"/>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10</c:v>
                </c:pt>
                <c:pt idx="4">
                  <c:v>10</c:v>
                </c:pt>
                <c:pt idx="5">
                  <c:v>75</c:v>
                </c:pt>
                <c:pt idx="6">
                  <c:v>5</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2.5</c:v>
                </c:pt>
                <c:pt idx="4">
                  <c:v>32.5</c:v>
                </c:pt>
                <c:pt idx="5">
                  <c:v>37.5</c:v>
                </c:pt>
                <c:pt idx="6">
                  <c:v>2.5</c:v>
                </c:pt>
                <c:pt idx="7">
                  <c:v>10</c:v>
                </c:pt>
                <c:pt idx="8">
                  <c:v>15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9667200"/>
        <c:axId val="149677184"/>
      </c:barChart>
      <c:catAx>
        <c:axId val="149667200"/>
        <c:scaling>
          <c:orientation val="minMax"/>
        </c:scaling>
        <c:axPos val="b"/>
        <c:tickLblPos val="nextTo"/>
        <c:crossAx val="149677184"/>
        <c:crosses val="autoZero"/>
        <c:auto val="1"/>
        <c:lblAlgn val="ctr"/>
        <c:lblOffset val="100"/>
      </c:catAx>
      <c:valAx>
        <c:axId val="149677184"/>
        <c:scaling>
          <c:orientation val="minMax"/>
        </c:scaling>
        <c:axPos val="l"/>
        <c:numFmt formatCode="General" sourceLinked="1"/>
        <c:tickLblPos val="nextTo"/>
        <c:crossAx val="14966720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18" zoomScale="90" zoomScaleNormal="90" workbookViewId="0">
      <selection activeCell="G9" sqref="G9"/>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40476</v>
      </c>
      <c r="H1" s="287"/>
    </row>
    <row r="2" spans="2:8" ht="24.75" customHeight="1">
      <c r="F2" s="286" t="s">
        <v>141</v>
      </c>
      <c r="G2" s="288" t="s">
        <v>192</v>
      </c>
      <c r="H2" s="172"/>
    </row>
    <row r="4" spans="2:8">
      <c r="G4" s="20" t="s">
        <v>183</v>
      </c>
    </row>
    <row r="5" spans="2:8" ht="51" customHeight="1">
      <c r="G5" s="372" t="s">
        <v>225</v>
      </c>
    </row>
    <row r="6" spans="2:8" ht="63" customHeight="1">
      <c r="G6" s="373"/>
    </row>
    <row r="7" spans="2:8" ht="114" customHeight="1">
      <c r="G7" s="373"/>
    </row>
    <row r="8" spans="2:8" ht="62.25" customHeight="1">
      <c r="G8" s="374"/>
    </row>
    <row r="9" spans="2:8" ht="28.5" customHeight="1"/>
    <row r="10" spans="2:8" ht="13.5" customHeight="1">
      <c r="F10" s="167"/>
    </row>
    <row r="11" spans="2:8">
      <c r="B11" s="21" t="s">
        <v>51</v>
      </c>
      <c r="C11" s="22" t="s">
        <v>52</v>
      </c>
      <c r="D11" s="22" t="s">
        <v>53</v>
      </c>
      <c r="E11" s="22"/>
      <c r="F11" s="23" t="s">
        <v>55</v>
      </c>
      <c r="G11" s="23" t="s">
        <v>54</v>
      </c>
    </row>
    <row r="12" spans="2:8" ht="12.75" customHeight="1">
      <c r="B12" s="381" t="s">
        <v>56</v>
      </c>
      <c r="C12" t="s">
        <v>57</v>
      </c>
      <c r="D12" s="24" t="s">
        <v>58</v>
      </c>
      <c r="F12" s="375" t="s">
        <v>216</v>
      </c>
      <c r="G12" s="378" t="s">
        <v>220</v>
      </c>
    </row>
    <row r="13" spans="2:8">
      <c r="B13" s="382"/>
      <c r="C13" t="s">
        <v>59</v>
      </c>
      <c r="D13" s="25" t="s">
        <v>60</v>
      </c>
      <c r="F13" s="376"/>
      <c r="G13" s="379"/>
    </row>
    <row r="14" spans="2:8">
      <c r="B14" s="382"/>
      <c r="C14" t="s">
        <v>61</v>
      </c>
      <c r="D14" s="25" t="s">
        <v>62</v>
      </c>
      <c r="F14" s="376"/>
      <c r="G14" s="379"/>
    </row>
    <row r="15" spans="2:8">
      <c r="B15" s="382"/>
      <c r="C15" t="s">
        <v>63</v>
      </c>
      <c r="D15" s="25" t="s">
        <v>65</v>
      </c>
      <c r="F15" s="376"/>
      <c r="G15" s="379"/>
    </row>
    <row r="16" spans="2:8">
      <c r="B16" s="382"/>
      <c r="D16" s="25" t="s">
        <v>64</v>
      </c>
      <c r="F16" s="376"/>
      <c r="G16" s="379"/>
    </row>
    <row r="17" spans="2:7" ht="75.75" customHeight="1">
      <c r="B17" s="383"/>
      <c r="D17" s="106" t="s">
        <v>111</v>
      </c>
      <c r="F17" s="376"/>
      <c r="G17" s="379"/>
    </row>
    <row r="18" spans="2:7">
      <c r="B18" s="381" t="s">
        <v>66</v>
      </c>
      <c r="C18" s="24" t="s">
        <v>57</v>
      </c>
      <c r="D18" t="s">
        <v>58</v>
      </c>
      <c r="E18" s="24"/>
      <c r="F18" s="375" t="s">
        <v>217</v>
      </c>
      <c r="G18" s="378" t="s">
        <v>221</v>
      </c>
    </row>
    <row r="19" spans="2:7">
      <c r="B19" s="382"/>
      <c r="C19" t="s">
        <v>59</v>
      </c>
      <c r="D19" t="s">
        <v>60</v>
      </c>
      <c r="E19" s="25"/>
      <c r="F19" s="376"/>
      <c r="G19" s="379"/>
    </row>
    <row r="20" spans="2:7">
      <c r="B20" s="382"/>
      <c r="C20" t="s">
        <v>61</v>
      </c>
      <c r="D20" t="s">
        <v>62</v>
      </c>
      <c r="E20" s="25"/>
      <c r="F20" s="376"/>
      <c r="G20" s="379"/>
    </row>
    <row r="21" spans="2:7">
      <c r="B21" s="382"/>
      <c r="C21" t="s">
        <v>63</v>
      </c>
      <c r="D21" t="s">
        <v>65</v>
      </c>
      <c r="E21" s="25"/>
      <c r="F21" s="376"/>
      <c r="G21" s="379"/>
    </row>
    <row r="22" spans="2:7">
      <c r="B22" s="382"/>
      <c r="D22" t="s">
        <v>64</v>
      </c>
      <c r="E22" s="25"/>
      <c r="F22" s="376"/>
      <c r="G22" s="379"/>
    </row>
    <row r="23" spans="2:7" ht="60" customHeight="1">
      <c r="B23" s="383"/>
      <c r="C23" s="26"/>
      <c r="D23" s="105" t="s">
        <v>111</v>
      </c>
      <c r="E23" s="26"/>
      <c r="F23" s="376"/>
      <c r="G23" s="379"/>
    </row>
    <row r="24" spans="2:7">
      <c r="B24" s="381" t="s">
        <v>67</v>
      </c>
      <c r="C24" s="24" t="s">
        <v>57</v>
      </c>
      <c r="D24" s="24" t="s">
        <v>58</v>
      </c>
      <c r="E24" s="24"/>
      <c r="F24" s="375" t="s">
        <v>218</v>
      </c>
      <c r="G24" s="378" t="s">
        <v>222</v>
      </c>
    </row>
    <row r="25" spans="2:7">
      <c r="B25" s="382"/>
      <c r="C25" t="s">
        <v>59</v>
      </c>
      <c r="D25" s="25" t="s">
        <v>60</v>
      </c>
      <c r="E25" s="25"/>
      <c r="F25" s="376"/>
      <c r="G25" s="379"/>
    </row>
    <row r="26" spans="2:7">
      <c r="B26" s="382"/>
      <c r="C26" t="s">
        <v>61</v>
      </c>
      <c r="D26" s="25" t="s">
        <v>62</v>
      </c>
      <c r="E26" s="25"/>
      <c r="F26" s="376"/>
      <c r="G26" s="379"/>
    </row>
    <row r="27" spans="2:7">
      <c r="B27" s="382"/>
      <c r="C27" t="s">
        <v>63</v>
      </c>
      <c r="D27" s="25" t="s">
        <v>65</v>
      </c>
      <c r="E27" s="25"/>
      <c r="F27" s="376"/>
      <c r="G27" s="379"/>
    </row>
    <row r="28" spans="2:7">
      <c r="B28" s="382"/>
      <c r="D28" s="25" t="s">
        <v>64</v>
      </c>
      <c r="E28" s="25"/>
      <c r="F28" s="376"/>
      <c r="G28" s="379"/>
    </row>
    <row r="29" spans="2:7" ht="60" customHeight="1">
      <c r="B29" s="383"/>
      <c r="C29" s="26"/>
      <c r="D29" s="106" t="s">
        <v>111</v>
      </c>
      <c r="E29" s="26"/>
      <c r="F29" s="377"/>
      <c r="G29" s="380"/>
    </row>
    <row r="30" spans="2:7">
      <c r="B30" s="381" t="s">
        <v>185</v>
      </c>
      <c r="C30" s="24" t="s">
        <v>57</v>
      </c>
      <c r="D30" s="24" t="s">
        <v>58</v>
      </c>
      <c r="E30" s="24"/>
      <c r="F30" s="375" t="s">
        <v>218</v>
      </c>
      <c r="G30" s="378" t="s">
        <v>223</v>
      </c>
    </row>
    <row r="31" spans="2:7">
      <c r="B31" s="382"/>
      <c r="C31" t="s">
        <v>59</v>
      </c>
      <c r="D31" s="25" t="s">
        <v>60</v>
      </c>
      <c r="E31" s="25"/>
      <c r="F31" s="376"/>
      <c r="G31" s="379"/>
    </row>
    <row r="32" spans="2:7">
      <c r="B32" s="382"/>
      <c r="C32" t="s">
        <v>61</v>
      </c>
      <c r="D32" s="25" t="s">
        <v>62</v>
      </c>
      <c r="E32" s="25"/>
      <c r="F32" s="376"/>
      <c r="G32" s="379"/>
    </row>
    <row r="33" spans="2:7">
      <c r="B33" s="382"/>
      <c r="C33" t="s">
        <v>63</v>
      </c>
      <c r="D33" s="25" t="s">
        <v>65</v>
      </c>
      <c r="E33" s="25"/>
      <c r="F33" s="376"/>
      <c r="G33" s="379"/>
    </row>
    <row r="34" spans="2:7">
      <c r="B34" s="382"/>
      <c r="D34" s="25" t="s">
        <v>64</v>
      </c>
      <c r="E34" s="25"/>
      <c r="F34" s="376"/>
      <c r="G34" s="379"/>
    </row>
    <row r="35" spans="2:7" ht="60" customHeight="1">
      <c r="B35" s="383"/>
      <c r="C35" s="26"/>
      <c r="D35" s="106" t="s">
        <v>111</v>
      </c>
      <c r="E35" s="26"/>
      <c r="F35" s="377"/>
      <c r="G35" s="380"/>
    </row>
    <row r="36" spans="2:7">
      <c r="B36" s="381" t="s">
        <v>127</v>
      </c>
      <c r="C36" s="24" t="s">
        <v>57</v>
      </c>
      <c r="D36" s="24" t="s">
        <v>58</v>
      </c>
      <c r="E36" s="24"/>
      <c r="F36" s="375" t="s">
        <v>219</v>
      </c>
      <c r="G36" s="375" t="s">
        <v>224</v>
      </c>
    </row>
    <row r="37" spans="2:7">
      <c r="B37" s="382"/>
      <c r="C37" t="s">
        <v>59</v>
      </c>
      <c r="D37" s="25" t="s">
        <v>60</v>
      </c>
      <c r="E37" s="25"/>
      <c r="F37" s="376"/>
      <c r="G37" s="376"/>
    </row>
    <row r="38" spans="2:7">
      <c r="B38" s="382"/>
      <c r="C38" t="s">
        <v>61</v>
      </c>
      <c r="D38" s="25" t="s">
        <v>62</v>
      </c>
      <c r="E38" s="25"/>
      <c r="F38" s="376"/>
      <c r="G38" s="376"/>
    </row>
    <row r="39" spans="2:7">
      <c r="B39" s="382"/>
      <c r="C39" t="s">
        <v>63</v>
      </c>
      <c r="D39" s="25" t="s">
        <v>65</v>
      </c>
      <c r="E39" s="25"/>
      <c r="F39" s="376"/>
      <c r="G39" s="376"/>
    </row>
    <row r="40" spans="2:7">
      <c r="B40" s="382"/>
      <c r="D40" s="25" t="s">
        <v>64</v>
      </c>
      <c r="E40" s="25"/>
      <c r="F40" s="376"/>
      <c r="G40" s="376"/>
    </row>
    <row r="41" spans="2:7" ht="60" customHeight="1">
      <c r="B41" s="383"/>
      <c r="C41" s="26"/>
      <c r="D41" s="106" t="s">
        <v>111</v>
      </c>
      <c r="E41" s="26"/>
      <c r="F41" s="377"/>
      <c r="G41" s="377"/>
    </row>
    <row r="42" spans="2:7">
      <c r="B42" s="381" t="s">
        <v>128</v>
      </c>
      <c r="C42" s="24" t="s">
        <v>57</v>
      </c>
      <c r="D42" s="24" t="s">
        <v>58</v>
      </c>
      <c r="E42" s="24"/>
      <c r="F42" s="375" t="s">
        <v>187</v>
      </c>
      <c r="G42" s="375" t="s">
        <v>187</v>
      </c>
    </row>
    <row r="43" spans="2:7">
      <c r="B43" s="382"/>
      <c r="C43" t="s">
        <v>59</v>
      </c>
      <c r="D43" s="25" t="s">
        <v>60</v>
      </c>
      <c r="E43" s="25"/>
      <c r="F43" s="376"/>
      <c r="G43" s="376"/>
    </row>
    <row r="44" spans="2:7">
      <c r="B44" s="382"/>
      <c r="C44" t="s">
        <v>61</v>
      </c>
      <c r="D44" s="25" t="s">
        <v>62</v>
      </c>
      <c r="E44" s="25"/>
      <c r="F44" s="376"/>
      <c r="G44" s="376"/>
    </row>
    <row r="45" spans="2:7">
      <c r="B45" s="382"/>
      <c r="C45" t="s">
        <v>63</v>
      </c>
      <c r="D45" s="25" t="s">
        <v>65</v>
      </c>
      <c r="E45" s="25"/>
      <c r="F45" s="376"/>
      <c r="G45" s="376"/>
    </row>
    <row r="46" spans="2:7">
      <c r="B46" s="382"/>
      <c r="D46" s="25" t="s">
        <v>64</v>
      </c>
      <c r="E46" s="25"/>
      <c r="F46" s="376"/>
      <c r="G46" s="376"/>
    </row>
    <row r="47" spans="2:7">
      <c r="B47" s="383"/>
      <c r="C47" s="26"/>
      <c r="D47" s="106" t="s">
        <v>111</v>
      </c>
      <c r="E47" s="26"/>
      <c r="F47" s="377"/>
      <c r="G47" s="377"/>
    </row>
  </sheetData>
  <mergeCells count="19">
    <mergeCell ref="B42:B47"/>
    <mergeCell ref="F42:F47"/>
    <mergeCell ref="G42:G47"/>
    <mergeCell ref="B12:B17"/>
    <mergeCell ref="B18:B23"/>
    <mergeCell ref="B24:B29"/>
    <mergeCell ref="B30:B35"/>
    <mergeCell ref="B36:B41"/>
    <mergeCell ref="G5:G8"/>
    <mergeCell ref="F36:F41"/>
    <mergeCell ref="G36:G41"/>
    <mergeCell ref="F24:F29"/>
    <mergeCell ref="G24:G29"/>
    <mergeCell ref="F12:F17"/>
    <mergeCell ref="G12:G17"/>
    <mergeCell ref="F18:F23"/>
    <mergeCell ref="G18:G23"/>
    <mergeCell ref="F30:F35"/>
    <mergeCell ref="G30:G35"/>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zoomScale="80" zoomScaleNormal="80" workbookViewId="0">
      <selection activeCell="C31" sqref="C31"/>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c r="D4" s="98"/>
      <c r="E4" s="98"/>
      <c r="F4" s="405"/>
      <c r="G4" s="406"/>
      <c r="H4" s="406"/>
      <c r="I4" s="407"/>
      <c r="L4" s="39"/>
      <c r="M4" s="35"/>
      <c r="N4" s="35">
        <v>2.5</v>
      </c>
      <c r="O4" s="35">
        <v>1.5</v>
      </c>
      <c r="P4" s="3"/>
      <c r="Q4" s="3"/>
    </row>
    <row r="5" spans="1:17" ht="30" customHeight="1">
      <c r="A5" s="313"/>
      <c r="B5" s="314" t="s">
        <v>2</v>
      </c>
      <c r="C5" s="267" t="e">
        <f>VLOOKUP(ABS('Ref State Cover'!G8-'Ref State Cover'!G15),'Rating Guide'!$F$34:$G$44,2)</f>
        <v>#DIV/0!</v>
      </c>
      <c r="D5" s="290" t="s">
        <v>73</v>
      </c>
      <c r="E5" s="101"/>
      <c r="F5" s="408"/>
      <c r="G5" s="409"/>
      <c r="H5" s="409"/>
      <c r="I5" s="410"/>
      <c r="L5" s="39"/>
      <c r="M5" s="35"/>
      <c r="N5" s="35">
        <v>3</v>
      </c>
      <c r="O5" s="35">
        <v>2</v>
      </c>
      <c r="P5" s="3"/>
      <c r="Q5" s="3"/>
    </row>
    <row r="6" spans="1:17" ht="30" customHeight="1">
      <c r="A6" s="313"/>
      <c r="B6" s="314" t="s">
        <v>8</v>
      </c>
      <c r="C6" s="99"/>
      <c r="D6" s="101"/>
      <c r="E6" s="101"/>
      <c r="F6" s="408"/>
      <c r="G6" s="409"/>
      <c r="H6" s="409"/>
      <c r="I6" s="410"/>
      <c r="L6" s="39"/>
      <c r="M6" s="35"/>
      <c r="N6" s="35">
        <v>3.5</v>
      </c>
      <c r="O6" s="35">
        <v>2.5</v>
      </c>
      <c r="P6" s="3"/>
      <c r="Q6" s="3"/>
    </row>
    <row r="7" spans="1:17" ht="30" customHeight="1" thickBot="1">
      <c r="A7" s="311"/>
      <c r="B7" s="314" t="s">
        <v>3</v>
      </c>
      <c r="C7" s="102"/>
      <c r="D7" s="103"/>
      <c r="E7" s="103"/>
      <c r="F7" s="411"/>
      <c r="G7" s="412"/>
      <c r="H7" s="412"/>
      <c r="I7" s="41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47.25" customHeight="1">
      <c r="A12" s="313"/>
      <c r="B12" s="446" t="str">
        <f>'Marginal Zone'!B12:B18</f>
        <v>WOODY</v>
      </c>
      <c r="C12" s="329" t="s">
        <v>1</v>
      </c>
      <c r="D12" s="271" t="s">
        <v>126</v>
      </c>
      <c r="E12" s="362" t="e">
        <f>VLOOKUP(ABS('Ref State Cover'!D8-'Ref State Cover'!D15),'Rating Guide'!$F$34:$G$44,2)</f>
        <v>#DIV/0!</v>
      </c>
      <c r="F12" s="41"/>
      <c r="G12" s="431"/>
      <c r="H12" s="432"/>
      <c r="I12" s="433"/>
      <c r="J12" s="34" t="e">
        <f t="shared" ref="J12:J17" si="0">IF(D12="Y",E12,IF(D12="N",""))</f>
        <v>#DIV/0!</v>
      </c>
      <c r="K12" s="34">
        <f t="shared" ref="K12:K17" si="1">IF(D12="Y",F12,IF(D12="N",""))</f>
        <v>0</v>
      </c>
      <c r="L12" s="39"/>
      <c r="M12" s="33"/>
      <c r="N12" s="33"/>
      <c r="O12" s="33"/>
    </row>
    <row r="13" spans="1:17" ht="30" customHeight="1">
      <c r="A13" s="313"/>
      <c r="B13" s="447"/>
      <c r="C13" s="330" t="s">
        <v>0</v>
      </c>
      <c r="D13" s="42" t="s">
        <v>126</v>
      </c>
      <c r="E13" s="363" t="e">
        <f>IF(D13="y",E12,"")</f>
        <v>#DIV/0!</v>
      </c>
      <c r="F13" s="43"/>
      <c r="G13" s="426"/>
      <c r="H13" s="427"/>
      <c r="I13" s="428"/>
      <c r="J13" s="34" t="e">
        <f t="shared" si="0"/>
        <v>#DIV/0!</v>
      </c>
      <c r="K13" s="34">
        <f t="shared" si="1"/>
        <v>0</v>
      </c>
      <c r="L13" s="39"/>
      <c r="M13" s="36"/>
      <c r="N13" s="36"/>
      <c r="O13" s="36"/>
      <c r="P13" s="3"/>
      <c r="Q13" s="3"/>
    </row>
    <row r="14" spans="1:17" ht="30" customHeight="1">
      <c r="A14" s="313"/>
      <c r="B14" s="447"/>
      <c r="C14" s="330" t="s">
        <v>38</v>
      </c>
      <c r="D14" s="42" t="s">
        <v>126</v>
      </c>
      <c r="E14" s="268" t="e">
        <f>#REF!</f>
        <v>#REF!</v>
      </c>
      <c r="F14" s="43"/>
      <c r="G14" s="426"/>
      <c r="H14" s="427"/>
      <c r="I14" s="428"/>
      <c r="J14" s="34" t="e">
        <f t="shared" si="0"/>
        <v>#REF!</v>
      </c>
      <c r="K14" s="34">
        <f t="shared" si="1"/>
        <v>0</v>
      </c>
      <c r="L14" s="39"/>
      <c r="M14" s="36"/>
      <c r="N14" s="36"/>
      <c r="O14" s="36"/>
      <c r="P14" s="3"/>
      <c r="Q14" s="3"/>
    </row>
    <row r="15" spans="1:17" ht="30" customHeight="1">
      <c r="A15" s="313"/>
      <c r="B15" s="447"/>
      <c r="C15" s="330" t="s">
        <v>37</v>
      </c>
      <c r="D15" s="42" t="s">
        <v>126</v>
      </c>
      <c r="E15" s="112"/>
      <c r="F15" s="43"/>
      <c r="G15" s="426"/>
      <c r="H15" s="427"/>
      <c r="I15" s="428"/>
      <c r="J15" s="34">
        <f t="shared" si="0"/>
        <v>0</v>
      </c>
      <c r="K15" s="34">
        <f t="shared" si="1"/>
        <v>0</v>
      </c>
      <c r="L15" s="39"/>
      <c r="M15" s="36"/>
      <c r="N15" s="36"/>
      <c r="O15" s="36"/>
      <c r="P15" s="3"/>
      <c r="Q15" s="3"/>
    </row>
    <row r="16" spans="1:17" ht="30" customHeight="1">
      <c r="A16" s="313"/>
      <c r="B16" s="447"/>
      <c r="C16" s="330" t="s">
        <v>36</v>
      </c>
      <c r="D16" s="42" t="s">
        <v>188</v>
      </c>
      <c r="E16" s="268" t="e">
        <f>#REF!</f>
        <v>#REF!</v>
      </c>
      <c r="F16" s="43"/>
      <c r="G16" s="426"/>
      <c r="H16" s="427"/>
      <c r="I16" s="428"/>
      <c r="J16" s="34" t="str">
        <f t="shared" si="0"/>
        <v/>
      </c>
      <c r="K16" s="34" t="str">
        <f t="shared" si="1"/>
        <v/>
      </c>
      <c r="L16" s="39"/>
      <c r="M16" s="36"/>
      <c r="N16" s="36"/>
      <c r="O16" s="36"/>
      <c r="P16" s="3"/>
      <c r="Q16" s="3"/>
    </row>
    <row r="17" spans="1:17" ht="30" customHeight="1" thickBot="1">
      <c r="A17" s="313"/>
      <c r="B17" s="447"/>
      <c r="C17" s="331" t="s">
        <v>34</v>
      </c>
      <c r="D17" s="44" t="s">
        <v>126</v>
      </c>
      <c r="E17" s="269" t="e">
        <f>#REF!</f>
        <v>#REF!</v>
      </c>
      <c r="F17" s="45"/>
      <c r="G17" s="455" t="e">
        <f>#REF!</f>
        <v>#REF!</v>
      </c>
      <c r="H17" s="456"/>
      <c r="I17" s="457"/>
      <c r="J17" s="34" t="e">
        <f t="shared" si="0"/>
        <v>#REF!</v>
      </c>
      <c r="K17" s="34">
        <f t="shared" si="1"/>
        <v>0</v>
      </c>
      <c r="L17" s="39"/>
      <c r="O17" s="37"/>
      <c r="P17" s="8"/>
    </row>
    <row r="18" spans="1:17" ht="30" customHeight="1" thickBot="1">
      <c r="A18" s="313"/>
      <c r="B18" s="448"/>
      <c r="C18" s="332"/>
      <c r="D18" s="333"/>
      <c r="E18" s="334" t="e">
        <f>IF(J18&gt;0,SUM(J12:J17)/J18,"")</f>
        <v>#DIV/0!</v>
      </c>
      <c r="F18" s="335">
        <f>IF(K18&gt;0,SUM(K12:K17)/K18,"")</f>
        <v>0</v>
      </c>
      <c r="G18" s="319"/>
      <c r="H18" s="319"/>
      <c r="I18" s="320"/>
      <c r="J18" s="37">
        <f>COUNT(J12:J17)</f>
        <v>1</v>
      </c>
      <c r="K18" s="37">
        <f>COUNT(K12:K17)</f>
        <v>5</v>
      </c>
      <c r="L18" s="39"/>
      <c r="O18" s="37"/>
      <c r="P18" s="8"/>
    </row>
    <row r="19" spans="1:17" ht="30" customHeight="1">
      <c r="A19" s="313"/>
      <c r="B19" s="449" t="str">
        <f>'Marginal Zone'!B19:B21</f>
        <v>SPECIAL CATEGORY (eg Reeds, Palmiet)</v>
      </c>
      <c r="C19" s="329" t="s">
        <v>1</v>
      </c>
      <c r="D19" s="40" t="s">
        <v>126</v>
      </c>
      <c r="E19" s="270" t="e">
        <f>VLOOKUP(ABS('Ref State Cover'!D23-'Ref State Cover'!D30),'Rating Guide'!$F$34:$G$44,2)</f>
        <v>#DIV/0!</v>
      </c>
      <c r="F19" s="41"/>
      <c r="G19" s="420"/>
      <c r="H19" s="421"/>
      <c r="I19" s="422"/>
      <c r="J19" s="34" t="e">
        <f>IF(D19="Y",E19,IF(D19="N",""))</f>
        <v>#DIV/0!</v>
      </c>
      <c r="K19" s="34">
        <f>IF(D19="Y",F19,IF(D19="N",""))</f>
        <v>0</v>
      </c>
      <c r="L19" s="39"/>
      <c r="O19" s="37"/>
      <c r="P19" s="8"/>
    </row>
    <row r="20" spans="1:17" ht="30" customHeight="1" thickBot="1">
      <c r="A20" s="313"/>
      <c r="B20" s="450"/>
      <c r="C20" s="331" t="s">
        <v>0</v>
      </c>
      <c r="D20" s="44" t="s">
        <v>126</v>
      </c>
      <c r="E20" s="363" t="e">
        <f>IF(D20="y",E19,"")</f>
        <v>#DIV/0!</v>
      </c>
      <c r="F20" s="45"/>
      <c r="G20" s="423"/>
      <c r="H20" s="424"/>
      <c r="I20" s="425"/>
      <c r="J20" s="34" t="e">
        <f>IF(D20="Y",E20,IF(D20="N",""))</f>
        <v>#DIV/0!</v>
      </c>
      <c r="K20" s="34">
        <f>IF(D20="Y",F20,IF(D20="N",""))</f>
        <v>0</v>
      </c>
      <c r="L20" s="39"/>
      <c r="O20" s="37"/>
      <c r="P20" s="8"/>
    </row>
    <row r="21" spans="1:17" ht="30" customHeight="1" thickBot="1">
      <c r="A21" s="313"/>
      <c r="B21" s="451"/>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9" t="str">
        <f>'Marginal Zone'!B22:B25</f>
        <v>NON-WOODY (Excl Reeds)</v>
      </c>
      <c r="C22" s="329" t="s">
        <v>1</v>
      </c>
      <c r="D22" s="40" t="s">
        <v>126</v>
      </c>
      <c r="E22" s="270" t="e">
        <f>VLOOKUP(ABS('Ref State Cover'!M23-'Ref State Cover'!M30),'Rating Guide'!$F$34:$G$44,2)</f>
        <v>#DIV/0!</v>
      </c>
      <c r="F22" s="41"/>
      <c r="G22" s="434"/>
      <c r="H22" s="435"/>
      <c r="I22" s="436"/>
      <c r="J22" s="34" t="e">
        <f>IF(D22="Y",E22,IF(D22="N",""))</f>
        <v>#DIV/0!</v>
      </c>
      <c r="K22" s="34">
        <f>IF(D22="Y",F22,IF(D22="N",""))</f>
        <v>0</v>
      </c>
      <c r="L22" s="39"/>
      <c r="O22" s="37"/>
      <c r="P22" s="8"/>
    </row>
    <row r="23" spans="1:17" ht="30" customHeight="1">
      <c r="A23" s="313"/>
      <c r="B23" s="450"/>
      <c r="C23" s="330" t="s">
        <v>0</v>
      </c>
      <c r="D23" s="42" t="s">
        <v>126</v>
      </c>
      <c r="E23" s="363" t="e">
        <f>IF(D23="y",E22,"")</f>
        <v>#DIV/0!</v>
      </c>
      <c r="F23" s="43"/>
      <c r="G23" s="437"/>
      <c r="H23" s="438"/>
      <c r="I23" s="439"/>
      <c r="J23" s="34" t="e">
        <f>IF(D23="Y",E23,IF(D23="N",""))</f>
        <v>#DIV/0!</v>
      </c>
      <c r="K23" s="34">
        <f>IF(D23="Y",F23,IF(D23="N",""))</f>
        <v>0</v>
      </c>
      <c r="L23" s="39"/>
      <c r="O23" s="37"/>
      <c r="P23" s="8"/>
    </row>
    <row r="24" spans="1:17" ht="30" customHeight="1" thickBot="1">
      <c r="A24" s="313"/>
      <c r="B24" s="450"/>
      <c r="C24" s="331" t="s">
        <v>34</v>
      </c>
      <c r="D24" s="44" t="s">
        <v>188</v>
      </c>
      <c r="E24" s="269" t="e">
        <f>#REF!</f>
        <v>#REF!</v>
      </c>
      <c r="F24" s="45"/>
      <c r="G24" s="458" t="e">
        <f>#REF!</f>
        <v>#REF!</v>
      </c>
      <c r="H24" s="459"/>
      <c r="I24" s="460"/>
      <c r="J24" s="34" t="str">
        <f>IF(D24="Y",E24,IF(D24="N",""))</f>
        <v/>
      </c>
      <c r="K24" s="34" t="str">
        <f>IF(D24="Y",F24,IF(D24="N",""))</f>
        <v/>
      </c>
      <c r="L24" s="39"/>
      <c r="O24" s="37"/>
      <c r="P24" s="8"/>
    </row>
    <row r="25" spans="1:17" ht="30" customHeight="1" thickBot="1">
      <c r="A25" s="313"/>
      <c r="B25" s="451"/>
      <c r="C25" s="339"/>
      <c r="D25" s="333"/>
      <c r="E25" s="334" t="str">
        <f>IF(J25&gt;0,SUM(J22:J24)/J25,"")</f>
        <v/>
      </c>
      <c r="F25" s="335">
        <f>IF(K25&gt;0,SUM(K22:K24)/K25,"")</f>
        <v>0</v>
      </c>
      <c r="G25" s="319"/>
      <c r="H25" s="319"/>
      <c r="I25" s="320"/>
      <c r="J25" s="37">
        <f>COUNT(J22:J24)</f>
        <v>0</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1</v>
      </c>
      <c r="E28" s="41">
        <v>100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2</v>
      </c>
      <c r="E30" s="45">
        <v>40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9" t="s">
        <v>139</v>
      </c>
      <c r="C32" s="430"/>
      <c r="D32" s="430"/>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zoomScale="80" zoomScaleNormal="80" workbookViewId="0">
      <selection activeCell="C30" sqref="C3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c r="D4" s="98"/>
      <c r="E4" s="98"/>
      <c r="F4" s="405"/>
      <c r="G4" s="406"/>
      <c r="H4" s="406"/>
      <c r="I4" s="407"/>
      <c r="L4" s="39"/>
      <c r="M4" s="35"/>
      <c r="N4" s="35">
        <v>2.5</v>
      </c>
      <c r="O4" s="35">
        <v>1.5</v>
      </c>
      <c r="P4" s="3"/>
      <c r="Q4" s="3"/>
    </row>
    <row r="5" spans="1:17" ht="30" customHeight="1">
      <c r="A5" s="313"/>
      <c r="B5" s="314" t="s">
        <v>2</v>
      </c>
      <c r="C5" s="267" t="e">
        <f>VLOOKUP(ABS('Ref State Cover'!G9-'Ref State Cover'!G16),'Rating Guide'!$F$34:$G$44,2)</f>
        <v>#DIV/0!</v>
      </c>
      <c r="D5" s="290" t="s">
        <v>73</v>
      </c>
      <c r="E5" s="101"/>
      <c r="F5" s="408"/>
      <c r="G5" s="409"/>
      <c r="H5" s="409"/>
      <c r="I5" s="410"/>
      <c r="L5" s="39"/>
      <c r="M5" s="35"/>
      <c r="N5" s="35">
        <v>3</v>
      </c>
      <c r="O5" s="35">
        <v>2</v>
      </c>
      <c r="P5" s="3"/>
      <c r="Q5" s="3"/>
    </row>
    <row r="6" spans="1:17" ht="30" customHeight="1">
      <c r="A6" s="313"/>
      <c r="B6" s="314" t="s">
        <v>8</v>
      </c>
      <c r="C6" s="99"/>
      <c r="D6" s="101"/>
      <c r="E6" s="101"/>
      <c r="F6" s="408"/>
      <c r="G6" s="409"/>
      <c r="H6" s="409"/>
      <c r="I6" s="410"/>
      <c r="L6" s="39"/>
      <c r="M6" s="35"/>
      <c r="N6" s="35">
        <v>3.5</v>
      </c>
      <c r="O6" s="35">
        <v>2.5</v>
      </c>
      <c r="P6" s="3"/>
      <c r="Q6" s="3"/>
    </row>
    <row r="7" spans="1:17" ht="30" customHeight="1" thickBot="1">
      <c r="A7" s="311"/>
      <c r="B7" s="314" t="s">
        <v>3</v>
      </c>
      <c r="C7" s="102"/>
      <c r="D7" s="103"/>
      <c r="E7" s="103"/>
      <c r="F7" s="411"/>
      <c r="G7" s="412"/>
      <c r="H7" s="412"/>
      <c r="I7" s="41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30" customHeight="1">
      <c r="A12" s="313"/>
      <c r="B12" s="446" t="str">
        <f>'Marginal Zone'!B12:B18</f>
        <v>WOODY</v>
      </c>
      <c r="C12" s="329" t="s">
        <v>1</v>
      </c>
      <c r="D12" s="271" t="s">
        <v>126</v>
      </c>
      <c r="E12" s="362" t="e">
        <f>VLOOKUP(ABS('Ref State Cover'!D9-'Ref State Cover'!D16),'Rating Guide'!$F$34:$G$44,2)</f>
        <v>#DIV/0!</v>
      </c>
      <c r="F12" s="41"/>
      <c r="G12" s="431"/>
      <c r="H12" s="432"/>
      <c r="I12" s="433"/>
      <c r="J12" s="34" t="e">
        <f t="shared" ref="J12:J17" si="0">IF(D12="Y",E12,IF(D12="N",""))</f>
        <v>#DIV/0!</v>
      </c>
      <c r="K12" s="34">
        <f t="shared" ref="K12:K17" si="1">IF(D12="Y",F12,IF(D12="N",""))</f>
        <v>0</v>
      </c>
      <c r="L12" s="39"/>
      <c r="M12" s="33"/>
      <c r="N12" s="33"/>
      <c r="O12" s="33"/>
    </row>
    <row r="13" spans="1:17" ht="30" customHeight="1">
      <c r="A13" s="313"/>
      <c r="B13" s="447"/>
      <c r="C13" s="330" t="s">
        <v>0</v>
      </c>
      <c r="D13" s="42" t="s">
        <v>126</v>
      </c>
      <c r="E13" s="363" t="e">
        <f>IF(D13="y",E12,"")</f>
        <v>#DIV/0!</v>
      </c>
      <c r="F13" s="43"/>
      <c r="G13" s="427"/>
      <c r="H13" s="427"/>
      <c r="I13" s="428"/>
      <c r="J13" s="34" t="e">
        <f t="shared" si="0"/>
        <v>#DIV/0!</v>
      </c>
      <c r="K13" s="34">
        <f t="shared" si="1"/>
        <v>0</v>
      </c>
      <c r="L13" s="39"/>
      <c r="M13" s="36"/>
      <c r="N13" s="36"/>
      <c r="O13" s="36"/>
      <c r="P13" s="3"/>
      <c r="Q13" s="3"/>
    </row>
    <row r="14" spans="1:17" ht="30" customHeight="1">
      <c r="A14" s="313"/>
      <c r="B14" s="447"/>
      <c r="C14" s="330" t="s">
        <v>38</v>
      </c>
      <c r="D14" s="42" t="s">
        <v>126</v>
      </c>
      <c r="E14" s="268" t="e">
        <f>#REF!</f>
        <v>#REF!</v>
      </c>
      <c r="F14" s="43"/>
      <c r="G14" s="427"/>
      <c r="H14" s="427"/>
      <c r="I14" s="428"/>
      <c r="J14" s="34" t="e">
        <f t="shared" si="0"/>
        <v>#REF!</v>
      </c>
      <c r="K14" s="34">
        <f t="shared" si="1"/>
        <v>0</v>
      </c>
      <c r="L14" s="39"/>
      <c r="M14" s="36"/>
      <c r="N14" s="36"/>
      <c r="O14" s="36"/>
      <c r="P14" s="3"/>
      <c r="Q14" s="3"/>
    </row>
    <row r="15" spans="1:17" ht="30" customHeight="1">
      <c r="A15" s="313"/>
      <c r="B15" s="447"/>
      <c r="C15" s="330" t="s">
        <v>37</v>
      </c>
      <c r="D15" s="42" t="s">
        <v>126</v>
      </c>
      <c r="E15" s="112"/>
      <c r="F15" s="43"/>
      <c r="G15" s="427"/>
      <c r="H15" s="427"/>
      <c r="I15" s="428"/>
      <c r="J15" s="34">
        <f t="shared" si="0"/>
        <v>0</v>
      </c>
      <c r="K15" s="34">
        <f t="shared" si="1"/>
        <v>0</v>
      </c>
      <c r="L15" s="39"/>
      <c r="M15" s="36"/>
      <c r="N15" s="36"/>
      <c r="O15" s="36"/>
      <c r="P15" s="3"/>
      <c r="Q15" s="3"/>
    </row>
    <row r="16" spans="1:17" ht="30" customHeight="1">
      <c r="A16" s="313"/>
      <c r="B16" s="447"/>
      <c r="C16" s="330" t="s">
        <v>36</v>
      </c>
      <c r="D16" s="42" t="s">
        <v>126</v>
      </c>
      <c r="E16" s="268" t="e">
        <f>#REF!</f>
        <v>#REF!</v>
      </c>
      <c r="F16" s="43"/>
      <c r="G16" s="427"/>
      <c r="H16" s="427"/>
      <c r="I16" s="428"/>
      <c r="J16" s="34" t="e">
        <f t="shared" si="0"/>
        <v>#REF!</v>
      </c>
      <c r="K16" s="34">
        <f t="shared" si="1"/>
        <v>0</v>
      </c>
      <c r="L16" s="39"/>
      <c r="M16" s="36"/>
      <c r="N16" s="36"/>
      <c r="O16" s="36"/>
      <c r="P16" s="3"/>
      <c r="Q16" s="3"/>
    </row>
    <row r="17" spans="1:17" ht="30" customHeight="1" thickBot="1">
      <c r="A17" s="313"/>
      <c r="B17" s="447"/>
      <c r="C17" s="331" t="s">
        <v>34</v>
      </c>
      <c r="D17" s="44" t="s">
        <v>126</v>
      </c>
      <c r="E17" s="269" t="e">
        <f>#REF!</f>
        <v>#REF!</v>
      </c>
      <c r="F17" s="45"/>
      <c r="G17" s="456" t="e">
        <f>#REF!</f>
        <v>#REF!</v>
      </c>
      <c r="H17" s="456"/>
      <c r="I17" s="457"/>
      <c r="J17" s="34" t="e">
        <f t="shared" si="0"/>
        <v>#REF!</v>
      </c>
      <c r="K17" s="34">
        <f t="shared" si="1"/>
        <v>0</v>
      </c>
      <c r="L17" s="39"/>
      <c r="O17" s="37"/>
      <c r="P17" s="8"/>
    </row>
    <row r="18" spans="1:17" ht="30" customHeight="1" thickBot="1">
      <c r="A18" s="313"/>
      <c r="B18" s="448"/>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49" t="str">
        <f>'Marginal Zone'!B19:B21</f>
        <v>SPECIAL CATEGORY (eg Reeds, Palmiet)</v>
      </c>
      <c r="C19" s="329" t="s">
        <v>1</v>
      </c>
      <c r="D19" s="40" t="s">
        <v>126</v>
      </c>
      <c r="E19" s="270" t="e">
        <f>VLOOKUP(ABS('Ref State Cover'!M24-'Ref State Cover'!M31),'Rating Guide'!$F$34:$G$44,2)</f>
        <v>#DIV/0!</v>
      </c>
      <c r="F19" s="41"/>
      <c r="G19" s="420"/>
      <c r="H19" s="421"/>
      <c r="I19" s="422"/>
      <c r="J19" s="34" t="e">
        <f>IF(D19="Y",E19,IF(D19="N",""))</f>
        <v>#DIV/0!</v>
      </c>
      <c r="K19" s="34">
        <f>IF(D19="Y",F19,IF(D19="N",""))</f>
        <v>0</v>
      </c>
      <c r="L19" s="39"/>
      <c r="O19" s="37"/>
      <c r="P19" s="8"/>
    </row>
    <row r="20" spans="1:17" ht="30" customHeight="1" thickBot="1">
      <c r="A20" s="313"/>
      <c r="B20" s="450"/>
      <c r="C20" s="331" t="s">
        <v>0</v>
      </c>
      <c r="D20" s="44" t="s">
        <v>126</v>
      </c>
      <c r="E20" s="363" t="e">
        <f>IF(D20="y",E19,"")</f>
        <v>#DIV/0!</v>
      </c>
      <c r="F20" s="45"/>
      <c r="G20" s="423"/>
      <c r="H20" s="424"/>
      <c r="I20" s="425"/>
      <c r="J20" s="34" t="e">
        <f>IF(D20="Y",E20,IF(D20="N",""))</f>
        <v>#DIV/0!</v>
      </c>
      <c r="K20" s="34">
        <f>IF(D20="Y",F20,IF(D20="N",""))</f>
        <v>0</v>
      </c>
      <c r="L20" s="39"/>
      <c r="O20" s="37"/>
      <c r="P20" s="8"/>
    </row>
    <row r="21" spans="1:17" ht="30" customHeight="1" thickBot="1">
      <c r="A21" s="313"/>
      <c r="B21" s="451"/>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9" t="str">
        <f>'Marginal Zone'!B22:B25</f>
        <v>NON-WOODY (Excl Reeds)</v>
      </c>
      <c r="C22" s="329" t="s">
        <v>1</v>
      </c>
      <c r="D22" s="40" t="s">
        <v>126</v>
      </c>
      <c r="E22" s="270" t="e">
        <f>VLOOKUP(ABS('Ref State Cover'!M24-'Ref State Cover'!M31),'Rating Guide'!F34:G44,2)</f>
        <v>#DIV/0!</v>
      </c>
      <c r="F22" s="41"/>
      <c r="G22" s="434"/>
      <c r="H22" s="435"/>
      <c r="I22" s="436"/>
      <c r="J22" s="34" t="e">
        <f>IF(D22="Y",E22,IF(D22="N",""))</f>
        <v>#DIV/0!</v>
      </c>
      <c r="K22" s="34">
        <f>IF(D22="Y",F22,IF(D22="N",""))</f>
        <v>0</v>
      </c>
      <c r="L22" s="39"/>
      <c r="O22" s="37"/>
      <c r="P22" s="8"/>
    </row>
    <row r="23" spans="1:17" ht="30" customHeight="1">
      <c r="A23" s="313"/>
      <c r="B23" s="450"/>
      <c r="C23" s="330" t="s">
        <v>0</v>
      </c>
      <c r="D23" s="42" t="s">
        <v>126</v>
      </c>
      <c r="E23" s="363" t="e">
        <f>IF(D23="y",E22,"")</f>
        <v>#DIV/0!</v>
      </c>
      <c r="F23" s="43"/>
      <c r="G23" s="437"/>
      <c r="H23" s="438"/>
      <c r="I23" s="439"/>
      <c r="J23" s="34" t="e">
        <f>IF(D23="Y",E23,IF(D23="N",""))</f>
        <v>#DIV/0!</v>
      </c>
      <c r="K23" s="34">
        <f>IF(D23="Y",F23,IF(D23="N",""))</f>
        <v>0</v>
      </c>
      <c r="L23" s="39"/>
      <c r="O23" s="37"/>
      <c r="P23" s="8"/>
    </row>
    <row r="24" spans="1:17" ht="30" customHeight="1" thickBot="1">
      <c r="A24" s="313"/>
      <c r="B24" s="450"/>
      <c r="C24" s="331" t="s">
        <v>34</v>
      </c>
      <c r="D24" s="44" t="s">
        <v>126</v>
      </c>
      <c r="E24" s="269" t="e">
        <f>#REF!</f>
        <v>#REF!</v>
      </c>
      <c r="F24" s="45"/>
      <c r="G24" s="461" t="e">
        <f>#REF!</f>
        <v>#REF!</v>
      </c>
      <c r="H24" s="459"/>
      <c r="I24" s="460"/>
      <c r="J24" s="34" t="e">
        <f>IF(D24="Y",E24,IF(D24="N",""))</f>
        <v>#REF!</v>
      </c>
      <c r="K24" s="34">
        <f>IF(D24="Y",F24,IF(D24="N",""))</f>
        <v>0</v>
      </c>
      <c r="L24" s="39"/>
      <c r="O24" s="37"/>
      <c r="P24" s="8"/>
    </row>
    <row r="25" spans="1:17" ht="30" customHeight="1" thickBot="1">
      <c r="A25" s="313"/>
      <c r="B25" s="451"/>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2</v>
      </c>
      <c r="E28" s="41">
        <v>50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v>3</v>
      </c>
      <c r="E29" s="43">
        <v>40</v>
      </c>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1</v>
      </c>
      <c r="E30" s="45">
        <v>100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9" t="s">
        <v>139</v>
      </c>
      <c r="C32" s="430"/>
      <c r="D32" s="430"/>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4" zoomScale="90" workbookViewId="0">
      <selection activeCell="I12" sqref="I12"/>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62">
        <f>Woody!F1</f>
        <v>40476</v>
      </c>
      <c r="H2" s="463"/>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18.148148148148152</v>
      </c>
      <c r="E4" s="53">
        <f t="shared" ref="E4:E9" si="0">IF(D4="","",(D4*H4/$H$10))</f>
        <v>5.4173576561636274</v>
      </c>
      <c r="F4" s="58">
        <f>'Marginal Zone'!H31</f>
        <v>4</v>
      </c>
      <c r="G4" s="61">
        <v>1</v>
      </c>
      <c r="H4" s="41">
        <v>100</v>
      </c>
      <c r="I4" s="47"/>
    </row>
    <row r="5" spans="3:12" ht="39.75" customHeight="1">
      <c r="C5" s="57" t="str">
        <f>'Reference State'!B18</f>
        <v>Lower</v>
      </c>
      <c r="D5" s="56">
        <f>IF('Lower Zone'!E32="","",100-'Lower Zone'!E32)</f>
        <v>19.851851851851848</v>
      </c>
      <c r="E5" s="53">
        <f t="shared" si="0"/>
        <v>5.6296296296296289</v>
      </c>
      <c r="F5" s="59">
        <f>'Lower Zone'!H31</f>
        <v>4</v>
      </c>
      <c r="G5" s="62">
        <v>2</v>
      </c>
      <c r="H5" s="43">
        <v>95</v>
      </c>
      <c r="I5" s="48"/>
    </row>
    <row r="6" spans="3:12" ht="39.75" customHeight="1">
      <c r="C6" s="121" t="str">
        <f>'Reference State'!B24</f>
        <v>Upper</v>
      </c>
      <c r="D6" s="56">
        <f>IF('Upper Zone'!E32="","",100-'Upper Zone'!E32)</f>
        <v>38.222222222222214</v>
      </c>
      <c r="E6" s="53">
        <f t="shared" si="0"/>
        <v>9.1276948590381419</v>
      </c>
      <c r="F6" s="116">
        <f>'Upper Zone'!H31</f>
        <v>3.55</v>
      </c>
      <c r="G6" s="117">
        <v>3</v>
      </c>
      <c r="H6" s="118">
        <v>80</v>
      </c>
      <c r="I6" s="119"/>
    </row>
    <row r="7" spans="3:12" ht="39.75" customHeight="1">
      <c r="C7" s="121" t="str">
        <f>'Reference State'!B30</f>
        <v>Upper MCB</v>
      </c>
      <c r="D7" s="56">
        <f>IF('Upper Zone MCB'!E32="","",100-'Upper Zone MCB'!E32)</f>
        <v>41.78378378378379</v>
      </c>
      <c r="E7" s="53">
        <f t="shared" si="0"/>
        <v>7.4836627672448586</v>
      </c>
      <c r="F7" s="116">
        <f>'Upper Zone MCB'!H31</f>
        <v>3.55</v>
      </c>
      <c r="G7" s="117">
        <v>4</v>
      </c>
      <c r="H7" s="118">
        <v>60</v>
      </c>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4</v>
      </c>
      <c r="E10" s="2"/>
      <c r="F10" s="2"/>
      <c r="G10" s="2"/>
      <c r="H10" s="6">
        <f>SUM(H4:H9)</f>
        <v>335</v>
      </c>
    </row>
    <row r="11" spans="3:12" ht="20.100000000000001" customHeight="1">
      <c r="C11" s="67" t="s">
        <v>39</v>
      </c>
      <c r="D11" s="68"/>
      <c r="E11" s="68"/>
      <c r="F11" s="69"/>
      <c r="G11" s="70">
        <f>SUM(E4:E9)</f>
        <v>27.658344912076259</v>
      </c>
      <c r="I11" s="2"/>
    </row>
    <row r="12" spans="3:12" ht="20.100000000000001" customHeight="1">
      <c r="C12" s="71" t="s">
        <v>32</v>
      </c>
      <c r="D12" s="72"/>
      <c r="E12" s="72"/>
      <c r="F12" s="73"/>
      <c r="G12" s="73" t="str">
        <f>IF(AND(87.4&lt;G11,G11&lt;92.01),"A/B",IF(AND(77.4&lt;G11,G11&lt;82.01),"B/C",IF(AND(57.4&lt;G11,G11&lt;62.01),"C/D",IF(AND(37.4&lt;G11,G11&lt;42.01),"D/E",IF(AND(17.4&lt;G11,G11&lt;22.01),"E/F",G13)))))</f>
        <v>E</v>
      </c>
      <c r="I12" s="2"/>
    </row>
    <row r="13" spans="3:12" ht="20.100000000000001" hidden="1" customHeight="1">
      <c r="C13" s="74"/>
      <c r="D13" s="75"/>
      <c r="E13" s="75"/>
      <c r="F13" s="75"/>
      <c r="G13" s="76" t="str">
        <f>IF(G11&gt;89.5,"A",IF(G11&gt;79.5,"B",IF(G11&gt;59.5,"C",IF(G11&gt;39.5,"D",IF(G11&gt;19.5,"E",IF(G11&lt;=0,"F",IF(G11&gt;=0,"F")))))))</f>
        <v>E</v>
      </c>
      <c r="H13" s="2"/>
      <c r="I13" s="2"/>
    </row>
    <row r="14" spans="3:12" ht="20.100000000000001" customHeight="1" thickBot="1">
      <c r="C14" s="77" t="s">
        <v>15</v>
      </c>
      <c r="D14" s="78"/>
      <c r="E14" s="78"/>
      <c r="F14" s="79"/>
      <c r="G14" s="80">
        <f>AVERAGE(F4:F9)</f>
        <v>3.7750000000000004</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64" t="s">
        <v>69</v>
      </c>
      <c r="E17" s="464"/>
      <c r="F17" s="464"/>
      <c r="G17" s="464"/>
      <c r="H17" s="464"/>
      <c r="I17" s="465"/>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18.148148148148152</v>
      </c>
      <c r="E19" s="85">
        <f>D5</f>
        <v>19.851851851851848</v>
      </c>
      <c r="F19" s="85">
        <f>D6</f>
        <v>38.222222222222214</v>
      </c>
      <c r="G19" s="85">
        <f>D7</f>
        <v>41.78378378378379</v>
      </c>
      <c r="H19" s="85" t="str">
        <f>D8</f>
        <v/>
      </c>
      <c r="I19" s="86" t="str">
        <f>D9</f>
        <v/>
      </c>
    </row>
    <row r="20" spans="2:9">
      <c r="C20" s="87" t="s">
        <v>71</v>
      </c>
      <c r="D20" s="88" t="str">
        <f t="shared" ref="D20:I20" si="1">IF(D19="","",IF(AND(87.4&lt;D19,D19&lt;92.01),"A/B",IF(AND(77.4&lt;D19,D19&lt;82.01),"B/C",IF(AND(57.4&lt;D19,D19&lt;62.01),"C/D",IF(AND(37.4&lt;D19,D19&lt;42.01),"D/E",IF(AND(17.4&lt;D19,D19&lt;22.01),"E/F",D21))))))</f>
        <v>E/F</v>
      </c>
      <c r="E20" s="88" t="str">
        <f t="shared" si="1"/>
        <v>E/F</v>
      </c>
      <c r="F20" s="88" t="str">
        <f t="shared" si="1"/>
        <v>D/E</v>
      </c>
      <c r="G20" s="88" t="str">
        <f t="shared" si="1"/>
        <v>D/E</v>
      </c>
      <c r="H20" s="88" t="str">
        <f t="shared" si="1"/>
        <v/>
      </c>
      <c r="I20" s="89" t="str">
        <f t="shared" si="1"/>
        <v/>
      </c>
    </row>
    <row r="21" spans="2:9" hidden="1">
      <c r="C21" s="82"/>
      <c r="D21" s="85" t="str">
        <f>IF(D19&gt;89.5,"A",IF(D19&gt;79.5,"B",IF(D19&gt;59.5,"C",IF(D19&gt;39.5,"D",IF(D19&gt;19.5,"E",IF(D19&lt;=0,"F",IF(D19&gt;=0,"F")))))))</f>
        <v>F</v>
      </c>
      <c r="E21" s="85" t="str">
        <f>IF(E19&gt;89.5,"A",IF(E19&gt;79.5,"B",IF(E19&gt;59.5,"C",IF(E19&gt;39.5,"D",IF(E19&gt;19.5,"E",IF(E19&lt;=0,"F",IF(E19&gt;=0,"F")))))))</f>
        <v>E</v>
      </c>
      <c r="F21" s="85" t="str">
        <f>IF(F19&gt;89.5,"A",IF(F19&gt;79.5,"B",IF(F19&gt;59.5,"C",IF(F19&gt;39.5,"D",IF(F19&gt;19.5,"E",IF(F19&lt;=0,"F",IF(F19&gt;=0,"F")))))))</f>
        <v>E</v>
      </c>
      <c r="G21" s="85" t="str">
        <f t="shared" ref="G21:H21" si="2">IF(G19&gt;89.5,"A",IF(G19&gt;79.5,"B",IF(G19&gt;59.5,"C",IF(G19&gt;39.5,"D",IF(G19&gt;19.5,"E",IF(G19&lt;=0,"F",IF(G19&gt;=0,"F")))))))</f>
        <v>D</v>
      </c>
      <c r="H21" s="85" t="str">
        <f t="shared" si="2"/>
        <v>A</v>
      </c>
      <c r="I21" s="86" t="str">
        <f t="shared" ref="I21" si="3">IF(I19&gt;89.5,"A",IF(I19&gt;79.5,"B",IF(I19&gt;59.5,"C",IF(I19&gt;39.5,"D",IF(I19&gt;19.5,"E",IF(I19&lt;=0,"F",IF(I19&gt;=0,"F")))))))</f>
        <v>A</v>
      </c>
    </row>
    <row r="22" spans="2:9" ht="13.5" thickBot="1">
      <c r="C22" s="90" t="s">
        <v>72</v>
      </c>
      <c r="D22" s="91">
        <f>F4</f>
        <v>4</v>
      </c>
      <c r="E22" s="91">
        <f>F5</f>
        <v>4</v>
      </c>
      <c r="F22" s="91">
        <f>F6</f>
        <v>3.55</v>
      </c>
      <c r="G22" s="91">
        <f>F7</f>
        <v>3.55</v>
      </c>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22"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40476</v>
      </c>
      <c r="D2" s="235" t="str">
        <f>'[1]Non-woody'!K1</f>
        <v>River:</v>
      </c>
      <c r="E2" s="152" t="str">
        <f>Woody!H1</f>
        <v>Mooi / Vaal @ OSEAH 11 3</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(E/F)</v>
      </c>
      <c r="C4" s="292">
        <f>SUM(Woody!X4:X43)/SUM(Woody!$P4:$P43)</f>
        <v>0</v>
      </c>
      <c r="D4" s="292">
        <f>SUM(Woody!Y4:Y43)/SUM(Woody!$P4:$P43)</f>
        <v>0</v>
      </c>
      <c r="E4" s="292">
        <f>SUM(Woody!Z4:Z43)/SUM(Woody!$P4:$P43)</f>
        <v>5</v>
      </c>
      <c r="F4" s="292">
        <f>SUM(Woody!AA4:AA43)/SUM(Woody!$P4:$P43)</f>
        <v>80</v>
      </c>
      <c r="G4" s="292">
        <f>SUM(Woody!AB4:AB43)/SUM(Woody!$P4:$P43)</f>
        <v>15</v>
      </c>
      <c r="H4" s="292">
        <f>SUM(Woody!AC4:AC43)/SUM(Woody!$P4:$P43)</f>
        <v>0</v>
      </c>
      <c r="I4" s="292">
        <f>SUM(Woody!AD4:AD43)/SUM(Woody!$P4:$P43)</f>
        <v>0</v>
      </c>
      <c r="J4" s="292">
        <f>SUM(Woody!AE4:AE43)/SUM(Woody!$P4:$P43)</f>
        <v>0</v>
      </c>
      <c r="K4" s="251"/>
      <c r="L4" s="251"/>
      <c r="M4" s="251"/>
    </row>
    <row r="5" spans="1:13">
      <c r="A5" s="152" t="str">
        <f>'RIPARIAN ZONE EC'!E18&amp;" Zone: ("&amp;'RIPARIAN ZONE EC'!E20&amp;")"</f>
        <v>Lower Zone: (E/F)</v>
      </c>
      <c r="C5" s="292">
        <f>SUM(Woody!AF4:AF43)/SUM(Woody!$Q4:$Q43)</f>
        <v>9.1666666666666661</v>
      </c>
      <c r="D5" s="292">
        <f>SUM(Woody!AG4:AG43)/SUM(Woody!$Q4:$Q43)</f>
        <v>0</v>
      </c>
      <c r="E5" s="292">
        <f>SUM(Woody!AH4:AH43)/SUM(Woody!$Q4:$Q43)</f>
        <v>5</v>
      </c>
      <c r="F5" s="292">
        <f>SUM(Woody!AI4:AI43)/SUM(Woody!$Q4:$Q43)</f>
        <v>80</v>
      </c>
      <c r="G5" s="292">
        <f>SUM(Woody!AJ4:AJ43)/SUM(Woody!$Q4:$Q43)</f>
        <v>5.833333333333333</v>
      </c>
      <c r="H5" s="292">
        <f>SUM(Woody!AK4:AK43)/SUM(Woody!$Q4:$Q43)</f>
        <v>0</v>
      </c>
      <c r="I5" s="292">
        <f>SUM(Woody!AL4:AL43)/SUM(Woody!$Q4:$Q43)</f>
        <v>0</v>
      </c>
      <c r="J5" s="292">
        <f>SUM(Woody!AM4:AM43)/SUM(Woody!$Q4:$Q43)</f>
        <v>0</v>
      </c>
      <c r="K5" s="251"/>
      <c r="L5" s="251"/>
      <c r="M5" s="251"/>
    </row>
    <row r="6" spans="1:13">
      <c r="A6" s="152" t="str">
        <f>'RIPARIAN ZONE EC'!F18&amp;" Zone: ("&amp;'RIPARIAN ZONE EC'!F20&amp;")"</f>
        <v>Upper Zone: (D/E)</v>
      </c>
      <c r="C6" s="292">
        <f>SUM(Woody!AN4:AN43)/SUM(Woody!$R4:$R43)</f>
        <v>5.833333333333333</v>
      </c>
      <c r="D6" s="292">
        <f>SUM(Woody!AO4:AO43)/SUM(Woody!$R4:$R43)</f>
        <v>0</v>
      </c>
      <c r="E6" s="292">
        <f>SUM(Woody!AP4:AP43)/SUM(Woody!$R4:$R43)</f>
        <v>21.666666666666668</v>
      </c>
      <c r="F6" s="292">
        <f>SUM(Woody!AQ4:AQ43)/SUM(Woody!$R4:$R43)</f>
        <v>67.5</v>
      </c>
      <c r="G6" s="292">
        <f>SUM(Woody!AR4:AR43)/SUM(Woody!$R4:$R43)</f>
        <v>5</v>
      </c>
      <c r="H6" s="292">
        <f>SUM(Woody!AS4:AS43)/SUM(Woody!$R4:$R43)</f>
        <v>0</v>
      </c>
      <c r="I6" s="292">
        <f>SUM(Woody!AT4:AT43)/SUM(Woody!$R4:$R43)</f>
        <v>0</v>
      </c>
      <c r="J6" s="292">
        <f>SUM(Woody!AU4:AU43)/SUM(Woody!$R4:$R43)</f>
        <v>0</v>
      </c>
      <c r="K6" s="251"/>
      <c r="L6" s="251"/>
      <c r="M6" s="251"/>
    </row>
    <row r="7" spans="1:13">
      <c r="A7" s="152" t="str">
        <f>'RIPARIAN ZONE EC'!G18&amp;" Zone: ("&amp;'RIPARIAN ZONE EC'!G20&amp;")"</f>
        <v>Upper MCB Zone: (D/E)</v>
      </c>
      <c r="C7" s="292">
        <f>SUM(Woody!AV4:AV43)/SUM(Woody!$S4:$S43)</f>
        <v>0</v>
      </c>
      <c r="D7" s="292">
        <f>SUM(Woody!AW4:AW43)/SUM(Woody!$S4:$S43)</f>
        <v>0</v>
      </c>
      <c r="E7" s="292">
        <f>SUM(Woody!AX4:AX43)/SUM(Woody!$S4:$S43)</f>
        <v>27.5</v>
      </c>
      <c r="F7" s="292">
        <f>SUM(Woody!AY4:AY43)/SUM(Woody!$S4:$S43)</f>
        <v>65</v>
      </c>
      <c r="G7" s="292">
        <f>SUM(Woody!AZ4:AZ43)/SUM(Woody!$S4:$S43)</f>
        <v>7.5</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40476</v>
      </c>
      <c r="C36" s="235"/>
      <c r="D36" s="235" t="str">
        <f>D2</f>
        <v>River:</v>
      </c>
      <c r="E36" s="235" t="str">
        <f>E2</f>
        <v>Mooi / Vaal @ OSEAH 11 3</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(E/F)</v>
      </c>
      <c r="C38" s="292">
        <f>SUM('Non-woody'!AC5:AC142)/SUM('Non-woody'!$T5:$T142)</f>
        <v>0</v>
      </c>
      <c r="D38" s="292">
        <f>SUM('Non-woody'!AD5:AD142)/SUM('Non-woody'!$T5:$T142)</f>
        <v>2.5</v>
      </c>
      <c r="E38" s="292">
        <f>SUM('Non-woody'!AE5:AE142)/SUM('Non-woody'!$T5:$T142)</f>
        <v>0</v>
      </c>
      <c r="F38" s="292">
        <f>SUM('Non-woody'!AF5:AF142)/SUM('Non-woody'!$T5:$T142)</f>
        <v>5</v>
      </c>
      <c r="G38" s="292">
        <f>SUM('Non-woody'!AG5:AG142)/SUM('Non-woody'!$T5:$T142)</f>
        <v>92.5</v>
      </c>
      <c r="H38" s="292">
        <f>SUM('Non-woody'!AH5:AH142)/SUM('Non-woody'!$T5:$T142)</f>
        <v>0</v>
      </c>
      <c r="I38" s="292">
        <f>SUM('Non-woody'!AI5:AI142)/SUM('Non-woody'!$T5:$T142)</f>
        <v>0</v>
      </c>
      <c r="J38" s="292">
        <f>SUM('Non-woody'!AJ5:AJ142)/SUM('Non-woody'!$T5:$T142)</f>
        <v>0</v>
      </c>
      <c r="K38" s="292">
        <f>SUM('Non-woody'!AK5:AK142)/SUM('Non-woody'!$T5:$T142)</f>
        <v>0</v>
      </c>
    </row>
    <row r="39" spans="1:11">
      <c r="A39" s="152" t="str">
        <f t="shared" ref="A39:A43" si="0">A5</f>
        <v>Lower Zone: (E/F)</v>
      </c>
      <c r="C39" s="292">
        <f>SUM('Non-woody'!AL5:AL142)/SUM('Non-woody'!$U5:$U142)</f>
        <v>0</v>
      </c>
      <c r="D39" s="292">
        <f>SUM('Non-woody'!AM5:AM142)/SUM('Non-woody'!$U5:$U142)</f>
        <v>0.83333333333333337</v>
      </c>
      <c r="E39" s="292">
        <f>SUM('Non-woody'!AN5:AN142)/SUM('Non-woody'!$U5:$U142)</f>
        <v>0</v>
      </c>
      <c r="F39" s="292">
        <f>SUM('Non-woody'!AO5:AO142)/SUM('Non-woody'!$U5:$U142)</f>
        <v>5</v>
      </c>
      <c r="G39" s="292">
        <f>SUM('Non-woody'!AP5:AP142)/SUM('Non-woody'!$U5:$U142)</f>
        <v>93.333333333333329</v>
      </c>
      <c r="H39" s="292">
        <f>SUM('Non-woody'!AQ5:AQ142)/SUM('Non-woody'!$U5:$U142)</f>
        <v>0.83333333333333337</v>
      </c>
      <c r="I39" s="292">
        <f>SUM('Non-woody'!AR5:AR142)/SUM('Non-woody'!$U5:$U142)</f>
        <v>0</v>
      </c>
      <c r="J39" s="292">
        <f>SUM('Non-woody'!AS5:AS142)/SUM('Non-woody'!$U5:$U142)</f>
        <v>0</v>
      </c>
      <c r="K39" s="292">
        <f>SUM('Non-woody'!AT5:AT142)/SUM('Non-woody'!$U5:$U142)</f>
        <v>0</v>
      </c>
    </row>
    <row r="40" spans="1:11">
      <c r="A40" s="152" t="str">
        <f t="shared" si="0"/>
        <v>Upper Zone: (D/E)</v>
      </c>
      <c r="C40" s="292">
        <f>SUM('Non-woody'!AU5:AU142)/SUM('Non-woody'!$V5:$V142)</f>
        <v>0</v>
      </c>
      <c r="D40" s="292">
        <f>SUM('Non-woody'!AV5:AV142)/SUM('Non-woody'!$V5:$V142)</f>
        <v>0</v>
      </c>
      <c r="E40" s="292">
        <f>SUM('Non-woody'!AW5:AW142)/SUM('Non-woody'!$V5:$V142)</f>
        <v>0</v>
      </c>
      <c r="F40" s="292">
        <f>SUM('Non-woody'!AX5:AX142)/SUM('Non-woody'!$V5:$V142)</f>
        <v>2.9166666666666665</v>
      </c>
      <c r="G40" s="292">
        <f>SUM('Non-woody'!AY5:AY142)/SUM('Non-woody'!$V5:$V142)</f>
        <v>34.166666666666664</v>
      </c>
      <c r="H40" s="292">
        <f>SUM('Non-woody'!AZ5:AZ142)/SUM('Non-woody'!$V5:$V142)</f>
        <v>30</v>
      </c>
      <c r="I40" s="292">
        <f>SUM('Non-woody'!BA5:BA142)/SUM('Non-woody'!$V5:$V142)</f>
        <v>2.9166666666666665</v>
      </c>
      <c r="J40" s="292">
        <f>SUM('Non-woody'!BB5:BB142)/SUM('Non-woody'!$V5:$V142)</f>
        <v>11.666666666666666</v>
      </c>
      <c r="K40" s="292">
        <f>SUM('Non-woody'!BC5:BC142)/SUM('Non-woody'!$V5:$V142)</f>
        <v>18.333333333333332</v>
      </c>
    </row>
    <row r="41" spans="1:11">
      <c r="A41" s="152" t="str">
        <f t="shared" si="0"/>
        <v>Upper MCB Zone: (D/E)</v>
      </c>
      <c r="C41" s="292">
        <f>SUM('Non-woody'!BD5:BD142)/SUM('Non-woody'!$W5:$W142)</f>
        <v>0</v>
      </c>
      <c r="D41" s="292">
        <f>SUM('Non-woody'!BE5:BE142)/SUM('Non-woody'!$W5:$W142)</f>
        <v>0</v>
      </c>
      <c r="E41" s="292">
        <f>SUM('Non-woody'!BF5:BF142)/SUM('Non-woody'!$W5:$W142)</f>
        <v>0</v>
      </c>
      <c r="F41" s="292">
        <f>SUM('Non-woody'!BG5:BG142)/SUM('Non-woody'!$W5:$W142)</f>
        <v>2.5</v>
      </c>
      <c r="G41" s="292">
        <f>SUM('Non-woody'!BH5:BH142)/SUM('Non-woody'!$W5:$W142)</f>
        <v>32.5</v>
      </c>
      <c r="H41" s="292">
        <f>SUM('Non-woody'!BI5:BI142)/SUM('Non-woody'!$W5:$W142)</f>
        <v>37.5</v>
      </c>
      <c r="I41" s="292">
        <f>SUM('Non-woody'!BJ5:BJ142)/SUM('Non-woody'!$W5:$W142)</f>
        <v>2.5</v>
      </c>
      <c r="J41" s="292">
        <f>SUM('Non-woody'!BK5:BK142)/SUM('Non-woody'!$W5:$W142)</f>
        <v>10</v>
      </c>
      <c r="K41" s="292">
        <f>SUM('Non-woody'!BL5:BL142)/SUM('Non-woody'!$W5:$W142)</f>
        <v>15</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topLeftCell="A7"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40476</v>
      </c>
      <c r="C2" s="235" t="str">
        <f>'[1]Non-woody'!K1</f>
        <v>River:</v>
      </c>
      <c r="D2" s="152" t="str">
        <f>Woody!H1</f>
        <v>Mooi / Vaal @ OSEAH 11 3</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0</v>
      </c>
      <c r="F4" s="241">
        <f>SUM('Non-woody'!CF5:CF142)/SUM('Non-woody'!$Z5:$Z142)</f>
        <v>5.9523809523809521E-2</v>
      </c>
      <c r="G4" s="241">
        <f>SUM('Non-woody'!CG5:CG142)/SUM('Non-woody'!$Z5:$Z142)</f>
        <v>0</v>
      </c>
      <c r="H4" s="241">
        <f>SUM('Non-woody'!CH5:CH142)/SUM('Non-woody'!$Z5:$Z142)</f>
        <v>2.9166666666666665</v>
      </c>
      <c r="I4" s="241">
        <f>SUM('Non-woody'!CI5:CI142)/SUM('Non-woody'!$Z5:$Z142)</f>
        <v>36.577380952380949</v>
      </c>
      <c r="J4" s="241">
        <f>SUM('Non-woody'!CJ5:CJ142)/SUM('Non-woody'!$Z5:$Z142)</f>
        <v>30.386904761904763</v>
      </c>
      <c r="K4" s="241">
        <f>SUM('Non-woody'!CK5:CK142)/SUM('Non-woody'!$Z5:$Z142)</f>
        <v>2.6785714285714284</v>
      </c>
      <c r="L4" s="241">
        <f>SUM('Non-woody'!CL5:CL142)/SUM('Non-woody'!$Z5:$Z142)</f>
        <v>10.714285714285714</v>
      </c>
      <c r="M4" s="241">
        <f>SUM('Non-woody'!CM5:CM142)/SUM('Non-woody'!$Z5:$Z142)</f>
        <v>16.666666666666668</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40476</v>
      </c>
      <c r="C35" s="235" t="str">
        <f>C2</f>
        <v>River:</v>
      </c>
      <c r="D35" s="235" t="str">
        <f>D2</f>
        <v>Mooi / Vaal @ OSEAH 11 3</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4.5209580838323351</v>
      </c>
      <c r="F37" s="241">
        <f>SUM(Woody!BU5:BU84)/SUM(Woody!$V5:$V84)</f>
        <v>0</v>
      </c>
      <c r="G37" s="241">
        <f>SUM(Woody!BV5:BV84)/SUM(Woody!$V5:$V84)</f>
        <v>22.365269461077844</v>
      </c>
      <c r="H37" s="241">
        <f>SUM(Woody!BW5:BW84)/SUM(Woody!$V5:$V84)</f>
        <v>67.425149700598809</v>
      </c>
      <c r="I37" s="241">
        <f>SUM(Woody!BX5:BX84)/SUM(Woody!$V5:$V84)</f>
        <v>5.6886227544910177</v>
      </c>
      <c r="J37" s="241">
        <f>SUM(Woody!BY5:BY84)/SUM(Woody!$V5:$V84)</f>
        <v>0</v>
      </c>
      <c r="K37" s="241">
        <f>SUM(Woody!BZ5:BZ84)/SUM(Woody!$V5:$V84)</f>
        <v>0</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69" t="s">
        <v>20</v>
      </c>
      <c r="E2" s="470"/>
      <c r="F2" s="470"/>
      <c r="G2" s="470"/>
      <c r="H2" s="470"/>
      <c r="I2" s="471"/>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66" t="s">
        <v>26</v>
      </c>
      <c r="C4" s="13" t="s">
        <v>21</v>
      </c>
      <c r="D4" s="14" t="s">
        <v>27</v>
      </c>
      <c r="E4" s="15" t="s">
        <v>28</v>
      </c>
      <c r="F4" s="15" t="s">
        <v>29</v>
      </c>
      <c r="G4" s="15" t="s">
        <v>30</v>
      </c>
      <c r="H4" s="15" t="s">
        <v>31</v>
      </c>
      <c r="I4" s="15">
        <v>5</v>
      </c>
      <c r="J4" s="10"/>
      <c r="K4" s="2">
        <v>1</v>
      </c>
      <c r="L4" s="2" t="s">
        <v>78</v>
      </c>
      <c r="M4" s="2">
        <v>80</v>
      </c>
      <c r="O4">
        <v>0</v>
      </c>
    </row>
    <row r="5" spans="2:24" ht="15">
      <c r="B5" s="467"/>
      <c r="C5" s="16" t="s">
        <v>22</v>
      </c>
      <c r="D5" s="15" t="s">
        <v>28</v>
      </c>
      <c r="E5" s="14" t="s">
        <v>27</v>
      </c>
      <c r="F5" s="15" t="s">
        <v>28</v>
      </c>
      <c r="G5" s="15" t="s">
        <v>29</v>
      </c>
      <c r="H5" s="15" t="s">
        <v>30</v>
      </c>
      <c r="I5" s="15" t="s">
        <v>31</v>
      </c>
      <c r="J5" s="10"/>
      <c r="K5" s="2">
        <v>1.5</v>
      </c>
      <c r="L5" s="2" t="s">
        <v>79</v>
      </c>
      <c r="M5" s="2">
        <v>70</v>
      </c>
      <c r="O5" s="165" t="s">
        <v>180</v>
      </c>
    </row>
    <row r="6" spans="2:24" ht="15">
      <c r="B6" s="467"/>
      <c r="C6" s="16" t="s">
        <v>23</v>
      </c>
      <c r="D6" s="15" t="s">
        <v>29</v>
      </c>
      <c r="E6" s="15" t="s">
        <v>28</v>
      </c>
      <c r="F6" s="14" t="s">
        <v>27</v>
      </c>
      <c r="G6" s="15" t="s">
        <v>28</v>
      </c>
      <c r="H6" s="15" t="s">
        <v>29</v>
      </c>
      <c r="I6" s="15" t="s">
        <v>30</v>
      </c>
      <c r="J6" s="10"/>
      <c r="K6" s="2">
        <v>2</v>
      </c>
      <c r="L6" s="2" t="s">
        <v>80</v>
      </c>
      <c r="M6" s="2">
        <v>60</v>
      </c>
      <c r="O6">
        <v>30</v>
      </c>
    </row>
    <row r="7" spans="2:24" ht="15">
      <c r="B7" s="467"/>
      <c r="C7" s="16" t="s">
        <v>24</v>
      </c>
      <c r="D7" s="15" t="s">
        <v>30</v>
      </c>
      <c r="E7" s="15" t="s">
        <v>29</v>
      </c>
      <c r="F7" s="15" t="s">
        <v>28</v>
      </c>
      <c r="G7" s="14" t="s">
        <v>27</v>
      </c>
      <c r="H7" s="15" t="s">
        <v>28</v>
      </c>
      <c r="I7" s="15" t="s">
        <v>29</v>
      </c>
      <c r="J7" s="10"/>
      <c r="K7" s="2">
        <v>2.5</v>
      </c>
      <c r="L7" s="2" t="s">
        <v>81</v>
      </c>
      <c r="M7" s="2">
        <v>50</v>
      </c>
      <c r="O7">
        <v>20</v>
      </c>
    </row>
    <row r="8" spans="2:24" ht="15">
      <c r="B8" s="467"/>
      <c r="C8" s="16" t="s">
        <v>50</v>
      </c>
      <c r="D8" s="15" t="s">
        <v>31</v>
      </c>
      <c r="E8" s="15" t="s">
        <v>30</v>
      </c>
      <c r="F8" s="15" t="s">
        <v>29</v>
      </c>
      <c r="G8" s="15" t="s">
        <v>28</v>
      </c>
      <c r="H8" s="14" t="s">
        <v>27</v>
      </c>
      <c r="I8" s="15" t="s">
        <v>28</v>
      </c>
      <c r="J8" s="10"/>
      <c r="K8" s="2">
        <v>3</v>
      </c>
      <c r="L8" s="2" t="s">
        <v>82</v>
      </c>
      <c r="M8" s="2">
        <v>40</v>
      </c>
      <c r="O8">
        <v>5</v>
      </c>
    </row>
    <row r="9" spans="2:24" ht="15.75" thickBot="1">
      <c r="B9" s="468"/>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69" t="s">
        <v>20</v>
      </c>
      <c r="E11" s="470"/>
      <c r="F11" s="470"/>
      <c r="G11" s="470"/>
      <c r="H11" s="470"/>
      <c r="I11" s="471"/>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66" t="s">
        <v>26</v>
      </c>
      <c r="C13" s="13" t="s">
        <v>21</v>
      </c>
      <c r="D13" s="14" t="s">
        <v>76</v>
      </c>
      <c r="E13" s="15" t="s">
        <v>86</v>
      </c>
      <c r="F13" s="15" t="s">
        <v>79</v>
      </c>
      <c r="G13" s="15" t="s">
        <v>81</v>
      </c>
      <c r="H13" s="15" t="s">
        <v>83</v>
      </c>
      <c r="I13" s="15" t="s">
        <v>85</v>
      </c>
    </row>
    <row r="14" spans="2:24" ht="15.75" thickBot="1">
      <c r="B14" s="467"/>
      <c r="C14" s="16" t="s">
        <v>22</v>
      </c>
      <c r="D14" s="15" t="s">
        <v>86</v>
      </c>
      <c r="E14" s="14" t="s">
        <v>76</v>
      </c>
      <c r="F14" s="15" t="s">
        <v>86</v>
      </c>
      <c r="G14" s="15" t="s">
        <v>79</v>
      </c>
      <c r="H14" s="15" t="s">
        <v>81</v>
      </c>
      <c r="I14" s="15" t="s">
        <v>83</v>
      </c>
      <c r="K14" s="10"/>
      <c r="L14" s="10"/>
      <c r="M14" s="469" t="s">
        <v>20</v>
      </c>
      <c r="N14" s="470"/>
      <c r="O14" s="470"/>
      <c r="P14" s="470"/>
      <c r="Q14" s="470"/>
      <c r="R14" s="470"/>
      <c r="S14" s="472"/>
      <c r="T14" s="472"/>
      <c r="U14" s="472"/>
      <c r="V14" s="472"/>
      <c r="W14" s="472"/>
      <c r="X14" s="473"/>
    </row>
    <row r="15" spans="2:24" ht="15.75" thickBot="1">
      <c r="B15" s="467"/>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67"/>
      <c r="C16" s="16" t="s">
        <v>24</v>
      </c>
      <c r="D16" s="15" t="s">
        <v>81</v>
      </c>
      <c r="E16" s="15" t="s">
        <v>79</v>
      </c>
      <c r="F16" s="15" t="s">
        <v>86</v>
      </c>
      <c r="G16" s="14" t="s">
        <v>76</v>
      </c>
      <c r="H16" s="15" t="s">
        <v>86</v>
      </c>
      <c r="I16" s="15" t="s">
        <v>79</v>
      </c>
      <c r="K16" s="474"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67"/>
      <c r="C17" s="16" t="s">
        <v>50</v>
      </c>
      <c r="D17" s="15" t="s">
        <v>83</v>
      </c>
      <c r="E17" s="15" t="s">
        <v>81</v>
      </c>
      <c r="F17" s="15" t="s">
        <v>79</v>
      </c>
      <c r="G17" s="15" t="s">
        <v>86</v>
      </c>
      <c r="H17" s="14" t="s">
        <v>76</v>
      </c>
      <c r="I17" s="15" t="s">
        <v>86</v>
      </c>
      <c r="K17" s="475"/>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68"/>
      <c r="C18" s="16" t="s">
        <v>25</v>
      </c>
      <c r="D18" s="15" t="s">
        <v>85</v>
      </c>
      <c r="E18" s="15" t="s">
        <v>83</v>
      </c>
      <c r="F18" s="15" t="s">
        <v>81</v>
      </c>
      <c r="G18" s="15" t="s">
        <v>79</v>
      </c>
      <c r="H18" s="15" t="s">
        <v>86</v>
      </c>
      <c r="I18" s="14" t="s">
        <v>76</v>
      </c>
      <c r="K18" s="475"/>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75"/>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69" t="s">
        <v>20</v>
      </c>
      <c r="E20" s="470"/>
      <c r="F20" s="470"/>
      <c r="G20" s="470"/>
      <c r="H20" s="470"/>
      <c r="I20" s="471"/>
      <c r="K20" s="475"/>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75"/>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66" t="s">
        <v>26</v>
      </c>
      <c r="C22" s="13" t="s">
        <v>21</v>
      </c>
      <c r="D22" s="14" t="s">
        <v>87</v>
      </c>
      <c r="E22" s="15" t="s">
        <v>88</v>
      </c>
      <c r="F22" s="15" t="s">
        <v>28</v>
      </c>
      <c r="G22" s="15" t="s">
        <v>29</v>
      </c>
      <c r="H22" s="15" t="s">
        <v>30</v>
      </c>
      <c r="I22" s="15" t="s">
        <v>31</v>
      </c>
      <c r="K22" s="476"/>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67"/>
      <c r="C23" s="16" t="s">
        <v>22</v>
      </c>
      <c r="D23" s="15" t="s">
        <v>88</v>
      </c>
      <c r="E23" s="14" t="s">
        <v>87</v>
      </c>
      <c r="F23" s="15" t="s">
        <v>88</v>
      </c>
      <c r="G23" s="15" t="s">
        <v>28</v>
      </c>
      <c r="H23" s="15" t="s">
        <v>29</v>
      </c>
      <c r="I23" s="15" t="s">
        <v>30</v>
      </c>
      <c r="K23" s="476"/>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67"/>
      <c r="C24" s="16" t="s">
        <v>23</v>
      </c>
      <c r="D24" s="15" t="s">
        <v>28</v>
      </c>
      <c r="E24" s="15" t="s">
        <v>88</v>
      </c>
      <c r="F24" s="14" t="s">
        <v>87</v>
      </c>
      <c r="G24" s="15" t="s">
        <v>88</v>
      </c>
      <c r="H24" s="15" t="s">
        <v>28</v>
      </c>
      <c r="I24" s="15" t="s">
        <v>29</v>
      </c>
      <c r="K24" s="476"/>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67"/>
      <c r="C25" s="16" t="s">
        <v>24</v>
      </c>
      <c r="D25" s="15" t="s">
        <v>29</v>
      </c>
      <c r="E25" s="15" t="s">
        <v>28</v>
      </c>
      <c r="F25" s="15" t="s">
        <v>88</v>
      </c>
      <c r="G25" s="14" t="s">
        <v>87</v>
      </c>
      <c r="H25" s="15" t="s">
        <v>88</v>
      </c>
      <c r="I25" s="15" t="s">
        <v>28</v>
      </c>
      <c r="K25" s="476"/>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67"/>
      <c r="C26" s="16" t="s">
        <v>50</v>
      </c>
      <c r="D26" s="15" t="s">
        <v>30</v>
      </c>
      <c r="E26" s="15" t="s">
        <v>29</v>
      </c>
      <c r="F26" s="15" t="s">
        <v>28</v>
      </c>
      <c r="G26" s="15" t="s">
        <v>88</v>
      </c>
      <c r="H26" s="14" t="s">
        <v>87</v>
      </c>
      <c r="I26" s="15" t="s">
        <v>88</v>
      </c>
      <c r="K26" s="476"/>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68"/>
      <c r="C27" s="16" t="s">
        <v>25</v>
      </c>
      <c r="D27" s="15" t="s">
        <v>31</v>
      </c>
      <c r="E27" s="15" t="s">
        <v>30</v>
      </c>
      <c r="F27" s="15" t="s">
        <v>29</v>
      </c>
      <c r="G27" s="15" t="s">
        <v>28</v>
      </c>
      <c r="H27" s="15" t="s">
        <v>88</v>
      </c>
      <c r="I27" s="14" t="s">
        <v>87</v>
      </c>
      <c r="K27" s="477"/>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69" t="s">
        <v>20</v>
      </c>
      <c r="N31" s="470"/>
      <c r="O31" s="470"/>
      <c r="P31" s="470"/>
      <c r="Q31" s="470"/>
      <c r="R31" s="470"/>
      <c r="S31" s="472"/>
      <c r="T31" s="472"/>
      <c r="U31" s="472"/>
      <c r="V31" s="472"/>
      <c r="W31" s="472"/>
      <c r="X31" s="473"/>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78" t="s">
        <v>123</v>
      </c>
      <c r="F33" s="479"/>
      <c r="G33" s="266" t="s">
        <v>41</v>
      </c>
      <c r="K33" s="474"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75"/>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75"/>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75"/>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75"/>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75"/>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76"/>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76"/>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76"/>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76"/>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76"/>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77"/>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M31:X31"/>
    <mergeCell ref="K33:K44"/>
    <mergeCell ref="K16:K27"/>
    <mergeCell ref="M14:X14"/>
    <mergeCell ref="D2:I2"/>
    <mergeCell ref="E33:F33"/>
    <mergeCell ref="B4:B9"/>
    <mergeCell ref="D11:I11"/>
    <mergeCell ref="B13:B18"/>
    <mergeCell ref="D20:I20"/>
    <mergeCell ref="B22:B27"/>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workbookViewId="0">
      <selection activeCell="H23" sqref="H23"/>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4">
        <f>Woody!F1</f>
        <v>40476</v>
      </c>
      <c r="D2" s="384"/>
      <c r="E2" s="235" t="str">
        <f>'[1]Non-woody'!K1</f>
        <v>River:</v>
      </c>
      <c r="F2" s="235" t="str">
        <f>Woody!H1</f>
        <v>Mooi / Vaal @ OSEAH 11 3</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10</v>
      </c>
      <c r="E4" s="301">
        <v>0</v>
      </c>
      <c r="F4" s="301">
        <v>70</v>
      </c>
      <c r="G4" s="366">
        <v>0</v>
      </c>
      <c r="H4" s="301">
        <v>20</v>
      </c>
      <c r="I4" s="301">
        <v>0</v>
      </c>
      <c r="J4" s="301">
        <v>0</v>
      </c>
      <c r="K4" s="301">
        <v>0</v>
      </c>
      <c r="L4">
        <f t="shared" ref="L4:L9" si="0">SUM(D4:K4)</f>
        <v>100</v>
      </c>
    </row>
    <row r="5" spans="1:12">
      <c r="A5" s="166"/>
      <c r="B5" s="146" t="str">
        <f>'Lower Zone'!B2</f>
        <v>Lower Zone</v>
      </c>
      <c r="C5" s="252"/>
      <c r="D5" s="301">
        <v>20</v>
      </c>
      <c r="E5" s="301">
        <v>0</v>
      </c>
      <c r="F5" s="301">
        <v>60</v>
      </c>
      <c r="G5" s="366">
        <v>0</v>
      </c>
      <c r="H5" s="301">
        <v>20</v>
      </c>
      <c r="I5" s="301">
        <v>0</v>
      </c>
      <c r="J5" s="301">
        <v>0</v>
      </c>
      <c r="K5" s="301">
        <v>0</v>
      </c>
      <c r="L5">
        <f t="shared" si="0"/>
        <v>100</v>
      </c>
    </row>
    <row r="6" spans="1:12">
      <c r="A6" s="166"/>
      <c r="B6" s="146" t="str">
        <f>'Upper Zone'!B2</f>
        <v>Upper Zone</v>
      </c>
      <c r="C6" s="252"/>
      <c r="D6" s="301">
        <v>30</v>
      </c>
      <c r="E6" s="301">
        <v>5</v>
      </c>
      <c r="F6" s="301">
        <v>55</v>
      </c>
      <c r="G6" s="366">
        <v>0</v>
      </c>
      <c r="H6" s="301">
        <v>10</v>
      </c>
      <c r="I6" s="301">
        <v>0</v>
      </c>
      <c r="J6" s="301">
        <v>0</v>
      </c>
      <c r="K6" s="301">
        <v>0</v>
      </c>
      <c r="L6">
        <f t="shared" si="0"/>
        <v>100</v>
      </c>
    </row>
    <row r="7" spans="1:12">
      <c r="A7" s="166"/>
      <c r="B7" s="146" t="str">
        <f>'Upper Zone MCB'!B2</f>
        <v>Upper MCB Zone</v>
      </c>
      <c r="C7" s="252"/>
      <c r="D7" s="301">
        <v>30</v>
      </c>
      <c r="E7" s="301">
        <v>10</v>
      </c>
      <c r="F7" s="301">
        <v>55</v>
      </c>
      <c r="G7" s="366">
        <v>0</v>
      </c>
      <c r="H7" s="301">
        <v>5</v>
      </c>
      <c r="I7" s="301">
        <v>0</v>
      </c>
      <c r="J7" s="301">
        <v>0</v>
      </c>
      <c r="K7" s="301">
        <v>0</v>
      </c>
      <c r="L7">
        <f t="shared" si="0"/>
        <v>100</v>
      </c>
    </row>
    <row r="8" spans="1:12">
      <c r="A8" s="166"/>
      <c r="B8" s="146" t="str">
        <f>Floodplain!B2</f>
        <v>Floodplain</v>
      </c>
      <c r="C8" s="252"/>
      <c r="D8" s="301"/>
      <c r="E8" s="301"/>
      <c r="F8" s="301"/>
      <c r="G8" s="366">
        <v>0</v>
      </c>
      <c r="H8" s="301"/>
      <c r="I8" s="301"/>
      <c r="J8" s="301"/>
      <c r="K8" s="301">
        <v>0</v>
      </c>
      <c r="L8">
        <f t="shared" si="0"/>
        <v>0</v>
      </c>
    </row>
    <row r="9" spans="1:12">
      <c r="A9" s="166"/>
      <c r="B9" s="146" t="str">
        <f>Wetland!B2</f>
        <v>Wetland</v>
      </c>
      <c r="C9" s="252"/>
      <c r="D9" s="301"/>
      <c r="E9" s="301"/>
      <c r="F9" s="301"/>
      <c r="G9" s="366">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0</v>
      </c>
      <c r="E11" s="282">
        <f>SUM(Woody!Y4:Y43)/SUM(Woody!$P4:$P43)</f>
        <v>0</v>
      </c>
      <c r="F11" s="282">
        <f>SUM(Woody!Z4:Z43)/SUM(Woody!$P4:$P43)</f>
        <v>5</v>
      </c>
      <c r="G11" s="282">
        <f>SUM(Woody!AA4:AA43)/SUM(Woody!$P4:$P43)</f>
        <v>80</v>
      </c>
      <c r="H11" s="282">
        <f>SUM(Woody!AB4:AB43)/SUM(Woody!$P4:$P43)</f>
        <v>15</v>
      </c>
      <c r="I11" s="282">
        <f>SUM(Woody!AC4:AC43)/SUM(Woody!$P4:$P43)</f>
        <v>0</v>
      </c>
      <c r="J11" s="282">
        <f>SUM(Woody!AD4:AD43)/SUM(Woody!$P4:$P43)</f>
        <v>0</v>
      </c>
      <c r="K11" s="282">
        <f>SUM(Woody!AE4:AE43)/SUM(Woody!$P4:$P43)</f>
        <v>0</v>
      </c>
      <c r="L11">
        <f t="shared" ref="L11:L16" si="1">SUM(D11:K11)</f>
        <v>100</v>
      </c>
    </row>
    <row r="12" spans="1:12">
      <c r="B12" s="152" t="str">
        <f t="shared" ref="B12:B16" si="2">B5</f>
        <v>Lower Zone</v>
      </c>
      <c r="C12" s="152"/>
      <c r="D12" s="282">
        <f>SUM(Woody!AF4:AF43)/SUM(Woody!$Q4:$Q43)</f>
        <v>9.1666666666666661</v>
      </c>
      <c r="E12" s="282">
        <f>SUM(Woody!AG4:AG43)/SUM(Woody!$Q4:$Q43)</f>
        <v>0</v>
      </c>
      <c r="F12" s="282">
        <f>SUM(Woody!AH4:AH43)/SUM(Woody!$Q4:$Q43)</f>
        <v>5</v>
      </c>
      <c r="G12" s="282">
        <f>SUM(Woody!AI4:AI43)/SUM(Woody!$Q4:$Q43)</f>
        <v>80</v>
      </c>
      <c r="H12" s="282">
        <f>SUM(Woody!AJ4:AJ43)/SUM(Woody!$Q4:$Q43)</f>
        <v>5.833333333333333</v>
      </c>
      <c r="I12" s="282">
        <f>SUM(Woody!AK4:AK43)/SUM(Woody!$Q4:$Q43)</f>
        <v>0</v>
      </c>
      <c r="J12" s="282">
        <f>SUM(Woody!AL4:AL43)/SUM(Woody!$Q4:$Q43)</f>
        <v>0</v>
      </c>
      <c r="K12" s="282">
        <f>SUM(Woody!AM4:AM43)/SUM(Woody!$Q4:$Q43)</f>
        <v>0</v>
      </c>
      <c r="L12">
        <f t="shared" si="1"/>
        <v>100</v>
      </c>
    </row>
    <row r="13" spans="1:12">
      <c r="B13" s="152" t="str">
        <f t="shared" si="2"/>
        <v>Upper Zone</v>
      </c>
      <c r="C13" s="152"/>
      <c r="D13" s="282">
        <f>SUM(Woody!AN4:AN43)/SUM(Woody!$R4:$R43)</f>
        <v>5.833333333333333</v>
      </c>
      <c r="E13" s="282">
        <f>SUM(Woody!AO4:AO43)/SUM(Woody!$R4:$R43)</f>
        <v>0</v>
      </c>
      <c r="F13" s="282">
        <f>SUM(Woody!AP4:AP43)/SUM(Woody!$R4:$R43)</f>
        <v>21.666666666666668</v>
      </c>
      <c r="G13" s="282">
        <f>SUM(Woody!AQ4:AQ43)/SUM(Woody!$R4:$R43)</f>
        <v>67.5</v>
      </c>
      <c r="H13" s="282">
        <f>SUM(Woody!AR4:AR43)/SUM(Woody!$R4:$R43)</f>
        <v>5</v>
      </c>
      <c r="I13" s="282">
        <f>SUM(Woody!AS4:AS43)/SUM(Woody!$R4:$R43)</f>
        <v>0</v>
      </c>
      <c r="J13" s="282">
        <f>SUM(Woody!AT4:AT43)/SUM(Woody!$R4:$R43)</f>
        <v>0</v>
      </c>
      <c r="K13" s="282">
        <f>SUM(Woody!AU4:AU43)/SUM(Woody!$R4:$R43)</f>
        <v>0</v>
      </c>
      <c r="L13">
        <f t="shared" si="1"/>
        <v>100</v>
      </c>
    </row>
    <row r="14" spans="1:12">
      <c r="B14" s="152" t="str">
        <f t="shared" si="2"/>
        <v>Upper MCB Zone</v>
      </c>
      <c r="C14" s="152"/>
      <c r="D14" s="282">
        <f>SUM(Woody!AV4:AV43)/SUM(Woody!$S4:$S43)</f>
        <v>0</v>
      </c>
      <c r="E14" s="282">
        <f>SUM(Woody!AW4:AW43)/SUM(Woody!$S4:$S43)</f>
        <v>0</v>
      </c>
      <c r="F14" s="282">
        <f>SUM(Woody!AX4:AX43)/SUM(Woody!$S4:$S43)</f>
        <v>27.5</v>
      </c>
      <c r="G14" s="282">
        <f>SUM(Woody!AY4:AY43)/SUM(Woody!$S4:$S43)</f>
        <v>65</v>
      </c>
      <c r="H14" s="282">
        <f>SUM(Woody!AZ4:AZ43)/SUM(Woody!$S4:$S43)</f>
        <v>7.5</v>
      </c>
      <c r="I14" s="282">
        <f>SUM(Woody!BA4:BA43)/SUM(Woody!$S4:$S43)</f>
        <v>0</v>
      </c>
      <c r="J14" s="282">
        <f>SUM(Woody!BB4:BB43)/SUM(Woody!$S4:$S43)</f>
        <v>0</v>
      </c>
      <c r="K14" s="282">
        <f>SUM(Woody!BC4:BC43)/SUM(Woody!$S4:$S43)</f>
        <v>0</v>
      </c>
      <c r="L14">
        <f t="shared" si="1"/>
        <v>100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0</v>
      </c>
      <c r="E19" s="302">
        <v>0</v>
      </c>
      <c r="F19" s="302">
        <v>30</v>
      </c>
      <c r="G19" s="302">
        <v>20</v>
      </c>
      <c r="H19" s="302">
        <v>25</v>
      </c>
      <c r="I19" s="302">
        <v>20</v>
      </c>
      <c r="J19" s="302">
        <v>5</v>
      </c>
      <c r="K19" s="302"/>
      <c r="L19" s="364">
        <v>0</v>
      </c>
      <c r="M19" s="296">
        <f>I19+G19+F19+E19</f>
        <v>70</v>
      </c>
      <c r="N19">
        <f>SUM(D19:L19)</f>
        <v>100</v>
      </c>
    </row>
    <row r="20" spans="1:14">
      <c r="A20" s="166"/>
      <c r="B20" s="146" t="str">
        <f t="shared" ref="B20:B24" si="3">B5</f>
        <v>Lower Zone</v>
      </c>
      <c r="D20" s="302">
        <v>0</v>
      </c>
      <c r="E20" s="302">
        <v>0</v>
      </c>
      <c r="F20" s="302">
        <v>20</v>
      </c>
      <c r="G20" s="302">
        <v>20</v>
      </c>
      <c r="H20" s="302">
        <v>30</v>
      </c>
      <c r="I20" s="302">
        <v>25</v>
      </c>
      <c r="J20" s="302">
        <v>5</v>
      </c>
      <c r="K20" s="302"/>
      <c r="L20" s="364">
        <v>0</v>
      </c>
      <c r="M20" s="297">
        <f t="shared" ref="M20:M24" si="4">I20+G20+F20+E20</f>
        <v>65</v>
      </c>
      <c r="N20">
        <f t="shared" ref="N20:N31" si="5">SUM(D20:L20)</f>
        <v>100</v>
      </c>
    </row>
    <row r="21" spans="1:14">
      <c r="A21" s="166"/>
      <c r="B21" s="146" t="str">
        <f t="shared" si="3"/>
        <v>Upper Zone</v>
      </c>
      <c r="D21" s="302">
        <v>0</v>
      </c>
      <c r="E21" s="302">
        <v>0</v>
      </c>
      <c r="F21" s="302">
        <v>0</v>
      </c>
      <c r="G21" s="302">
        <v>10</v>
      </c>
      <c r="H21" s="302">
        <v>10</v>
      </c>
      <c r="I21" s="302">
        <v>75</v>
      </c>
      <c r="J21" s="302">
        <v>5</v>
      </c>
      <c r="K21" s="302"/>
      <c r="L21" s="364">
        <v>0</v>
      </c>
      <c r="M21" s="297">
        <f t="shared" si="4"/>
        <v>85</v>
      </c>
      <c r="N21">
        <f t="shared" si="5"/>
        <v>100</v>
      </c>
    </row>
    <row r="22" spans="1:14">
      <c r="A22" s="166"/>
      <c r="B22" s="146" t="str">
        <f t="shared" si="3"/>
        <v>Upper MCB Zone</v>
      </c>
      <c r="C22" s="152"/>
      <c r="D22" s="303">
        <v>0</v>
      </c>
      <c r="E22" s="303">
        <v>0</v>
      </c>
      <c r="F22" s="303">
        <v>0</v>
      </c>
      <c r="G22" s="303">
        <v>10</v>
      </c>
      <c r="H22" s="302">
        <v>10</v>
      </c>
      <c r="I22" s="303">
        <v>75</v>
      </c>
      <c r="J22" s="303">
        <v>5</v>
      </c>
      <c r="K22" s="303"/>
      <c r="L22" s="365">
        <v>0</v>
      </c>
      <c r="M22" s="297">
        <f t="shared" si="4"/>
        <v>85</v>
      </c>
      <c r="N22">
        <f t="shared" si="5"/>
        <v>100</v>
      </c>
    </row>
    <row r="23" spans="1:14">
      <c r="A23" s="166"/>
      <c r="B23" s="146" t="str">
        <f t="shared" si="3"/>
        <v>Floodplain</v>
      </c>
      <c r="C23" s="152"/>
      <c r="D23" s="303"/>
      <c r="E23" s="303"/>
      <c r="F23" s="303"/>
      <c r="G23" s="303"/>
      <c r="H23" s="302">
        <f t="shared" ref="H23:H24" si="6">H8+I8+J8</f>
        <v>0</v>
      </c>
      <c r="I23" s="303"/>
      <c r="J23" s="303"/>
      <c r="K23" s="303"/>
      <c r="L23" s="365">
        <v>0</v>
      </c>
      <c r="M23" s="297">
        <f>I23+G23+F23+E23</f>
        <v>0</v>
      </c>
      <c r="N23">
        <f t="shared" si="5"/>
        <v>0</v>
      </c>
    </row>
    <row r="24" spans="1:14">
      <c r="A24" s="166"/>
      <c r="B24" s="146" t="str">
        <f t="shared" si="3"/>
        <v>Wetland</v>
      </c>
      <c r="C24" s="152"/>
      <c r="D24" s="303"/>
      <c r="E24" s="303"/>
      <c r="F24" s="303"/>
      <c r="G24" s="303"/>
      <c r="H24" s="302">
        <f t="shared" si="6"/>
        <v>0</v>
      </c>
      <c r="I24" s="303"/>
      <c r="J24" s="303"/>
      <c r="K24" s="303"/>
      <c r="L24" s="365">
        <v>0</v>
      </c>
      <c r="M24" s="297">
        <f t="shared" si="4"/>
        <v>0</v>
      </c>
      <c r="N24">
        <f t="shared" si="5"/>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0</v>
      </c>
      <c r="E26" s="282">
        <f>SUM('Non-woody'!AD5:AD142)/SUM('Non-woody'!$T5:$T142)</f>
        <v>2.5</v>
      </c>
      <c r="F26" s="282">
        <f>SUM('Non-woody'!AE5:AE142)/SUM('Non-woody'!$T5:$T142)</f>
        <v>0</v>
      </c>
      <c r="G26" s="282">
        <f>SUM('Non-woody'!AF5:AF142)/SUM('Non-woody'!$T5:$T142)</f>
        <v>5</v>
      </c>
      <c r="H26" s="282">
        <f>SUM('Non-woody'!AG5:AG142)/SUM('Non-woody'!$T5:$T142)</f>
        <v>92.5</v>
      </c>
      <c r="I26" s="282">
        <f>SUM('Non-woody'!AH5:AH142)/SUM('Non-woody'!$T5:$T142)</f>
        <v>0</v>
      </c>
      <c r="J26" s="282">
        <f>SUM('Non-woody'!AI5:AI142)/SUM('Non-woody'!$T5:$T142)</f>
        <v>0</v>
      </c>
      <c r="K26" s="282">
        <f>SUM('Non-woody'!AJ5:AJ142)/SUM('Non-woody'!$T5:$T142)</f>
        <v>0</v>
      </c>
      <c r="L26" s="282">
        <f>SUM('Non-woody'!AK5:AK142)/SUM('Non-woody'!$T5:$T142)</f>
        <v>0</v>
      </c>
      <c r="M26" s="361">
        <f t="shared" ref="M26:M31" si="7">I26+G26+F26+E26</f>
        <v>7.5</v>
      </c>
      <c r="N26">
        <f t="shared" si="5"/>
        <v>100</v>
      </c>
    </row>
    <row r="27" spans="1:14">
      <c r="B27" s="152" t="str">
        <f t="shared" ref="B27:B31" si="8">B5</f>
        <v>Lower Zone</v>
      </c>
      <c r="C27" s="152"/>
      <c r="D27" s="282">
        <f>SUM('Non-woody'!AL5:AL142)/SUM('Non-woody'!$U5:$U142)</f>
        <v>0</v>
      </c>
      <c r="E27" s="282">
        <f>SUM('Non-woody'!AM5:AM142)/SUM('Non-woody'!$U5:$U142)</f>
        <v>0.83333333333333337</v>
      </c>
      <c r="F27" s="282">
        <f>SUM('Non-woody'!AN5:AN142)/SUM('Non-woody'!$U5:$U142)</f>
        <v>0</v>
      </c>
      <c r="G27" s="282">
        <f>SUM('Non-woody'!AO5:AO142)/SUM('Non-woody'!$U5:$U142)</f>
        <v>5</v>
      </c>
      <c r="H27" s="282">
        <f>SUM('Non-woody'!AP5:AP142)/SUM('Non-woody'!$U5:$U142)</f>
        <v>93.333333333333329</v>
      </c>
      <c r="I27" s="282">
        <f>SUM('Non-woody'!AQ5:AQ142)/SUM('Non-woody'!$U5:$U142)</f>
        <v>0.83333333333333337</v>
      </c>
      <c r="J27" s="282">
        <f>SUM('Non-woody'!AR5:AR142)/SUM('Non-woody'!$U5:$U142)</f>
        <v>0</v>
      </c>
      <c r="K27" s="282">
        <f>SUM('Non-woody'!AS5:AS142)/SUM('Non-woody'!$U5:$U142)</f>
        <v>0</v>
      </c>
      <c r="L27" s="282">
        <f>SUM('Non-woody'!AT5:AT142)/SUM('Non-woody'!$U5:$U142)</f>
        <v>0</v>
      </c>
      <c r="M27" s="361">
        <f t="shared" si="7"/>
        <v>6.6666666666666661</v>
      </c>
      <c r="N27">
        <f t="shared" si="5"/>
        <v>99.999999999999986</v>
      </c>
    </row>
    <row r="28" spans="1:14">
      <c r="B28" s="152" t="str">
        <f t="shared" si="8"/>
        <v>Upper Zone</v>
      </c>
      <c r="C28" s="152"/>
      <c r="D28" s="282">
        <f>SUM('Non-woody'!AU5:AU142)/SUM('Non-woody'!$V5:$V142)</f>
        <v>0</v>
      </c>
      <c r="E28" s="282">
        <f>SUM('Non-woody'!AV5:AV142)/SUM('Non-woody'!$V5:$V142)</f>
        <v>0</v>
      </c>
      <c r="F28" s="282">
        <f>SUM('Non-woody'!AW5:AW142)/SUM('Non-woody'!$V5:$V142)</f>
        <v>0</v>
      </c>
      <c r="G28" s="282">
        <f>SUM('Non-woody'!AX5:AX142)/SUM('Non-woody'!$V5:$V142)</f>
        <v>2.9166666666666665</v>
      </c>
      <c r="H28" s="282">
        <f>SUM('Non-woody'!AY5:AY142)/SUM('Non-woody'!$V5:$V142)</f>
        <v>34.166666666666664</v>
      </c>
      <c r="I28" s="282">
        <f>SUM('Non-woody'!AZ5:AZ142)/SUM('Non-woody'!$V5:$V142)</f>
        <v>30</v>
      </c>
      <c r="J28" s="282">
        <f>SUM('Non-woody'!BA5:BA142)/SUM('Non-woody'!$V5:$V142)</f>
        <v>2.9166666666666665</v>
      </c>
      <c r="K28" s="282">
        <f>SUM('Non-woody'!BB5:BB142)/SUM('Non-woody'!$V5:$V142)</f>
        <v>11.666666666666666</v>
      </c>
      <c r="L28" s="282">
        <f>SUM('Non-woody'!BC5:BC142)/SUM('Non-woody'!$V5:$V142)</f>
        <v>18.333333333333332</v>
      </c>
      <c r="M28" s="297">
        <f t="shared" si="7"/>
        <v>32.916666666666664</v>
      </c>
      <c r="N28">
        <f t="shared" si="5"/>
        <v>100</v>
      </c>
    </row>
    <row r="29" spans="1:14">
      <c r="B29" s="152" t="str">
        <f t="shared" si="8"/>
        <v>Upper MCB Zone</v>
      </c>
      <c r="C29" s="152"/>
      <c r="D29" s="282">
        <f>SUM('Non-woody'!BD5:BD142)/SUM('Non-woody'!$W5:$W142)</f>
        <v>0</v>
      </c>
      <c r="E29" s="282">
        <f>SUM('Non-woody'!BE5:BE142)/SUM('Non-woody'!$W5:$W142)</f>
        <v>0</v>
      </c>
      <c r="F29" s="282">
        <f>SUM('Non-woody'!BF5:BF142)/SUM('Non-woody'!$W5:$W142)</f>
        <v>0</v>
      </c>
      <c r="G29" s="282">
        <f>SUM('Non-woody'!BG5:BG142)/SUM('Non-woody'!$W5:$W142)</f>
        <v>2.5</v>
      </c>
      <c r="H29" s="282">
        <f>SUM('Non-woody'!BH5:BH142)/SUM('Non-woody'!$W5:$W142)</f>
        <v>32.5</v>
      </c>
      <c r="I29" s="282">
        <f>SUM('Non-woody'!BI5:BI142)/SUM('Non-woody'!$W5:$W142)</f>
        <v>37.5</v>
      </c>
      <c r="J29" s="282">
        <f>SUM('Non-woody'!BJ5:BJ142)/SUM('Non-woody'!$W5:$W142)</f>
        <v>2.5</v>
      </c>
      <c r="K29" s="282">
        <f>SUM('Non-woody'!BK5:BK142)/SUM('Non-woody'!$W5:$W142)</f>
        <v>10</v>
      </c>
      <c r="L29" s="282">
        <f>SUM('Non-woody'!BL5:BL142)/SUM('Non-woody'!$W5:$W142)</f>
        <v>15</v>
      </c>
      <c r="M29" s="297">
        <f t="shared" si="7"/>
        <v>40</v>
      </c>
      <c r="N29">
        <f t="shared" si="5"/>
        <v>100</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5"/>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5"/>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5" t="s">
        <v>124</v>
      </c>
      <c r="D1" s="386"/>
      <c r="E1" s="386"/>
      <c r="F1" s="386"/>
      <c r="G1" s="386"/>
      <c r="H1" s="386"/>
      <c r="I1" s="386"/>
      <c r="J1" s="386"/>
      <c r="K1" s="387"/>
      <c r="L1" s="388" t="s">
        <v>129</v>
      </c>
      <c r="M1" s="389"/>
      <c r="N1" s="390"/>
      <c r="O1" s="390"/>
      <c r="P1" s="389"/>
      <c r="Q1" s="391"/>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4" activePane="bottomLeft" state="frozen"/>
      <selection pane="bottomLeft" activeCell="I28" sqref="I28"/>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40476</v>
      </c>
      <c r="G1" s="171" t="s">
        <v>141</v>
      </c>
      <c r="H1" s="174" t="str">
        <f>'Reference State'!G2</f>
        <v>Mooi / Vaal @ OSEAH 11 3</v>
      </c>
      <c r="I1" s="169"/>
      <c r="J1" s="169"/>
      <c r="K1" s="169"/>
      <c r="L1" s="175"/>
      <c r="W1" s="179" t="s">
        <v>186</v>
      </c>
    </row>
    <row r="2" spans="1:79" ht="20.25" customHeight="1">
      <c r="A2" s="169"/>
      <c r="B2" s="169"/>
      <c r="C2" s="170"/>
      <c r="D2" s="169"/>
      <c r="E2" s="392" t="s">
        <v>164</v>
      </c>
      <c r="F2" s="393"/>
      <c r="G2" s="393"/>
      <c r="H2" s="393"/>
      <c r="I2" s="393"/>
      <c r="J2" s="393"/>
      <c r="K2" s="393"/>
      <c r="L2" s="394"/>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190</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v>1</v>
      </c>
      <c r="E4" s="187">
        <v>0</v>
      </c>
      <c r="F4" s="187">
        <v>0</v>
      </c>
      <c r="G4" s="187">
        <v>5</v>
      </c>
      <c r="H4" s="187">
        <v>80</v>
      </c>
      <c r="I4" s="187">
        <v>15</v>
      </c>
      <c r="J4" s="187"/>
      <c r="K4" s="187"/>
      <c r="L4" s="187"/>
      <c r="N4" s="189"/>
      <c r="O4" s="172">
        <f>SUM(E4:L4)</f>
        <v>100</v>
      </c>
      <c r="P4" s="178">
        <f>IF($B4=P$3,$D4-$C4,0)</f>
        <v>1</v>
      </c>
      <c r="Q4" s="178">
        <f t="shared" ref="Q4:U23" si="6">IF($B4=Q$3,$D4-$C4,0)</f>
        <v>0</v>
      </c>
      <c r="R4" s="178">
        <f t="shared" si="6"/>
        <v>0</v>
      </c>
      <c r="S4" s="178">
        <f t="shared" si="6"/>
        <v>0</v>
      </c>
      <c r="T4" s="178">
        <f t="shared" si="6"/>
        <v>0</v>
      </c>
      <c r="U4" s="178">
        <f t="shared" si="6"/>
        <v>0</v>
      </c>
      <c r="V4" s="178">
        <f>IF(D4&gt;0,D4-C4,0)</f>
        <v>1</v>
      </c>
      <c r="W4" s="172" t="str">
        <f>'Reference State'!B24</f>
        <v>Upper</v>
      </c>
      <c r="X4" s="178">
        <f t="shared" ref="X4:AE6" si="7">IF($B4=$W$2,E4*$P4,"")</f>
        <v>0</v>
      </c>
      <c r="Y4" s="178">
        <f t="shared" si="7"/>
        <v>0</v>
      </c>
      <c r="Z4" s="178">
        <f t="shared" si="7"/>
        <v>5</v>
      </c>
      <c r="AA4" s="178">
        <f t="shared" si="7"/>
        <v>80</v>
      </c>
      <c r="AB4" s="178">
        <f t="shared" si="7"/>
        <v>15</v>
      </c>
      <c r="AC4" s="178">
        <f t="shared" si="7"/>
        <v>0</v>
      </c>
      <c r="AD4" s="178">
        <f t="shared" si="7"/>
        <v>0</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0</v>
      </c>
      <c r="BU4" s="190">
        <f t="shared" ref="BU4:BU35" si="35">F4*$V4</f>
        <v>0</v>
      </c>
      <c r="BV4" s="190">
        <f t="shared" ref="BV4:BV35" si="36">G4*$V4</f>
        <v>5</v>
      </c>
      <c r="BW4" s="190">
        <f t="shared" ref="BW4:BW35" si="37">H4*$V4</f>
        <v>80</v>
      </c>
      <c r="BX4" s="190">
        <f t="shared" ref="BX4:BX35" si="38">I4*$V4</f>
        <v>15</v>
      </c>
      <c r="BY4" s="190">
        <f t="shared" ref="BY4:BY35" si="39">J4*$V4</f>
        <v>0</v>
      </c>
      <c r="BZ4" s="190">
        <f t="shared" ref="BZ4:BZ35" si="40">K4*$V4</f>
        <v>0</v>
      </c>
      <c r="CA4" s="190">
        <f t="shared" ref="CA4:CA35" si="41">L4*$V4</f>
        <v>0</v>
      </c>
    </row>
    <row r="5" spans="1:79" ht="24.95" customHeight="1">
      <c r="A5" s="191"/>
      <c r="B5" s="188" t="s">
        <v>66</v>
      </c>
      <c r="C5" s="187">
        <f>D4</f>
        <v>1</v>
      </c>
      <c r="D5" s="192">
        <v>6</v>
      </c>
      <c r="E5" s="187">
        <v>10</v>
      </c>
      <c r="F5" s="187">
        <v>0</v>
      </c>
      <c r="G5" s="187">
        <v>5</v>
      </c>
      <c r="H5" s="187">
        <v>80</v>
      </c>
      <c r="I5" s="187">
        <v>5</v>
      </c>
      <c r="J5" s="187"/>
      <c r="K5" s="187"/>
      <c r="L5" s="187"/>
      <c r="N5" s="189"/>
      <c r="O5" s="172">
        <f t="shared" ref="O5:O68" si="42">SUM(E5:L5)</f>
        <v>100</v>
      </c>
      <c r="P5" s="178">
        <f t="shared" ref="P5:U24" si="43">IF($B5=P$3,$D5-$C5,0)</f>
        <v>0</v>
      </c>
      <c r="Q5" s="178">
        <f t="shared" si="6"/>
        <v>5</v>
      </c>
      <c r="R5" s="178">
        <f t="shared" si="6"/>
        <v>0</v>
      </c>
      <c r="S5" s="178">
        <f t="shared" si="6"/>
        <v>0</v>
      </c>
      <c r="T5" s="178">
        <f t="shared" si="6"/>
        <v>0</v>
      </c>
      <c r="U5" s="178">
        <f t="shared" si="6"/>
        <v>0</v>
      </c>
      <c r="V5" s="178">
        <f t="shared" ref="V5:V68" si="44">IF(D5&gt;0,D5-C5,0)</f>
        <v>5</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50</v>
      </c>
      <c r="AG5" s="178">
        <f t="shared" si="9"/>
        <v>0</v>
      </c>
      <c r="AH5" s="178">
        <f t="shared" si="10"/>
        <v>25</v>
      </c>
      <c r="AI5" s="178">
        <f t="shared" si="11"/>
        <v>400</v>
      </c>
      <c r="AJ5" s="178">
        <f t="shared" si="12"/>
        <v>25</v>
      </c>
      <c r="AK5" s="178">
        <f t="shared" si="13"/>
        <v>0</v>
      </c>
      <c r="AL5" s="178">
        <f t="shared" si="14"/>
        <v>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50</v>
      </c>
      <c r="BU5" s="190">
        <f t="shared" si="35"/>
        <v>0</v>
      </c>
      <c r="BV5" s="190">
        <f t="shared" si="36"/>
        <v>25</v>
      </c>
      <c r="BW5" s="190">
        <f t="shared" si="37"/>
        <v>400</v>
      </c>
      <c r="BX5" s="190">
        <f t="shared" si="38"/>
        <v>25</v>
      </c>
      <c r="BY5" s="190">
        <f t="shared" si="39"/>
        <v>0</v>
      </c>
      <c r="BZ5" s="190">
        <f t="shared" si="40"/>
        <v>0</v>
      </c>
      <c r="CA5" s="190">
        <f t="shared" si="41"/>
        <v>0</v>
      </c>
    </row>
    <row r="6" spans="1:79" ht="24.95" customHeight="1">
      <c r="A6" s="191"/>
      <c r="B6" s="188" t="s">
        <v>67</v>
      </c>
      <c r="C6" s="187">
        <f t="shared" ref="C6:C69" si="61">D5</f>
        <v>6</v>
      </c>
      <c r="D6" s="192">
        <v>76</v>
      </c>
      <c r="E6" s="187">
        <v>10</v>
      </c>
      <c r="F6" s="187">
        <v>0</v>
      </c>
      <c r="G6" s="187">
        <v>5</v>
      </c>
      <c r="H6" s="187">
        <v>80</v>
      </c>
      <c r="I6" s="187">
        <v>5</v>
      </c>
      <c r="J6" s="187"/>
      <c r="K6" s="187"/>
      <c r="L6" s="187"/>
      <c r="N6" s="193"/>
      <c r="O6" s="172">
        <f t="shared" si="42"/>
        <v>100</v>
      </c>
      <c r="P6" s="178">
        <f t="shared" si="43"/>
        <v>0</v>
      </c>
      <c r="Q6" s="178">
        <f t="shared" si="6"/>
        <v>0</v>
      </c>
      <c r="R6" s="178">
        <f t="shared" si="6"/>
        <v>70</v>
      </c>
      <c r="S6" s="178">
        <f t="shared" si="6"/>
        <v>0</v>
      </c>
      <c r="T6" s="178">
        <f t="shared" si="6"/>
        <v>0</v>
      </c>
      <c r="U6" s="178">
        <f t="shared" si="6"/>
        <v>0</v>
      </c>
      <c r="V6" s="178">
        <f t="shared" si="44"/>
        <v>70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700</v>
      </c>
      <c r="AO6" s="178">
        <f t="shared" si="17"/>
        <v>0</v>
      </c>
      <c r="AP6" s="178">
        <f t="shared" si="18"/>
        <v>350</v>
      </c>
      <c r="AQ6" s="178">
        <f t="shared" si="19"/>
        <v>5600</v>
      </c>
      <c r="AR6" s="178">
        <f t="shared" si="20"/>
        <v>350</v>
      </c>
      <c r="AS6" s="178">
        <f t="shared" si="21"/>
        <v>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700</v>
      </c>
      <c r="BU6" s="190">
        <f t="shared" si="35"/>
        <v>0</v>
      </c>
      <c r="BV6" s="190">
        <f t="shared" si="36"/>
        <v>350</v>
      </c>
      <c r="BW6" s="190">
        <f t="shared" si="37"/>
        <v>5600</v>
      </c>
      <c r="BX6" s="190">
        <f t="shared" si="38"/>
        <v>350</v>
      </c>
      <c r="BY6" s="190">
        <f t="shared" si="39"/>
        <v>0</v>
      </c>
      <c r="BZ6" s="190">
        <f t="shared" si="40"/>
        <v>0</v>
      </c>
      <c r="CA6" s="190">
        <f t="shared" si="41"/>
        <v>0</v>
      </c>
    </row>
    <row r="7" spans="1:79" ht="24.95" customHeight="1">
      <c r="A7" s="191"/>
      <c r="B7" s="188" t="s">
        <v>185</v>
      </c>
      <c r="C7" s="187">
        <f>D6</f>
        <v>76</v>
      </c>
      <c r="D7" s="192">
        <v>96</v>
      </c>
      <c r="E7" s="187">
        <v>0</v>
      </c>
      <c r="F7" s="187">
        <v>0</v>
      </c>
      <c r="G7" s="187">
        <v>10</v>
      </c>
      <c r="H7" s="187">
        <v>80</v>
      </c>
      <c r="I7" s="187">
        <v>10</v>
      </c>
      <c r="J7" s="187"/>
      <c r="K7" s="187"/>
      <c r="L7" s="187"/>
      <c r="N7" s="189"/>
      <c r="O7" s="172">
        <f t="shared" si="42"/>
        <v>100</v>
      </c>
      <c r="P7" s="178">
        <f t="shared" si="43"/>
        <v>0</v>
      </c>
      <c r="Q7" s="178">
        <f t="shared" si="6"/>
        <v>0</v>
      </c>
      <c r="R7" s="178">
        <f t="shared" si="6"/>
        <v>0</v>
      </c>
      <c r="S7" s="178">
        <f t="shared" si="6"/>
        <v>20</v>
      </c>
      <c r="T7" s="178">
        <f t="shared" si="6"/>
        <v>0</v>
      </c>
      <c r="U7" s="178">
        <f t="shared" si="6"/>
        <v>0</v>
      </c>
      <c r="V7" s="178">
        <f t="shared" si="44"/>
        <v>20</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0</v>
      </c>
      <c r="AW7" s="178">
        <f t="shared" si="25"/>
        <v>0</v>
      </c>
      <c r="AX7" s="178">
        <f t="shared" si="26"/>
        <v>200</v>
      </c>
      <c r="AY7" s="178">
        <f t="shared" si="27"/>
        <v>1600</v>
      </c>
      <c r="AZ7" s="178">
        <f t="shared" si="28"/>
        <v>200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0</v>
      </c>
      <c r="BU7" s="190">
        <f t="shared" si="35"/>
        <v>0</v>
      </c>
      <c r="BV7" s="190">
        <f t="shared" si="36"/>
        <v>200</v>
      </c>
      <c r="BW7" s="190">
        <f t="shared" si="37"/>
        <v>1600</v>
      </c>
      <c r="BX7" s="190">
        <f t="shared" si="38"/>
        <v>200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v>
      </c>
      <c r="E24" s="187">
        <v>0</v>
      </c>
      <c r="F24" s="187">
        <v>0</v>
      </c>
      <c r="G24" s="187">
        <v>5</v>
      </c>
      <c r="H24" s="187">
        <v>80</v>
      </c>
      <c r="I24" s="187">
        <v>15</v>
      </c>
      <c r="J24" s="187"/>
      <c r="K24" s="187"/>
      <c r="L24" s="187"/>
      <c r="O24" s="172">
        <f t="shared" si="42"/>
        <v>100</v>
      </c>
      <c r="P24" s="178">
        <f t="shared" si="43"/>
        <v>1</v>
      </c>
      <c r="Q24" s="178">
        <f t="shared" si="43"/>
        <v>0</v>
      </c>
      <c r="R24" s="178">
        <f t="shared" si="43"/>
        <v>0</v>
      </c>
      <c r="S24" s="178">
        <f t="shared" si="43"/>
        <v>0</v>
      </c>
      <c r="T24" s="178">
        <f t="shared" si="43"/>
        <v>0</v>
      </c>
      <c r="U24" s="178">
        <f t="shared" si="43"/>
        <v>0</v>
      </c>
      <c r="V24" s="178">
        <f t="shared" si="44"/>
        <v>1</v>
      </c>
      <c r="X24" s="178">
        <f t="shared" si="62"/>
        <v>0</v>
      </c>
      <c r="Y24" s="178">
        <f t="shared" si="63"/>
        <v>0</v>
      </c>
      <c r="Z24" s="178">
        <f t="shared" si="64"/>
        <v>5</v>
      </c>
      <c r="AA24" s="178">
        <f t="shared" si="65"/>
        <v>80</v>
      </c>
      <c r="AB24" s="178">
        <f t="shared" si="66"/>
        <v>15</v>
      </c>
      <c r="AC24" s="178">
        <f t="shared" si="67"/>
        <v>0</v>
      </c>
      <c r="AD24" s="178">
        <f t="shared" si="68"/>
        <v>0</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0</v>
      </c>
      <c r="BU24" s="190">
        <f t="shared" si="35"/>
        <v>0</v>
      </c>
      <c r="BV24" s="190">
        <f t="shared" si="36"/>
        <v>5</v>
      </c>
      <c r="BW24" s="190">
        <f t="shared" si="37"/>
        <v>80</v>
      </c>
      <c r="BX24" s="190">
        <f t="shared" si="38"/>
        <v>15</v>
      </c>
      <c r="BY24" s="190">
        <f t="shared" si="39"/>
        <v>0</v>
      </c>
      <c r="BZ24" s="190">
        <f t="shared" si="40"/>
        <v>0</v>
      </c>
      <c r="CA24" s="190">
        <f t="shared" si="41"/>
        <v>0</v>
      </c>
    </row>
    <row r="25" spans="1:79" ht="20.100000000000001" customHeight="1">
      <c r="A25" s="191"/>
      <c r="B25" s="188" t="s">
        <v>66</v>
      </c>
      <c r="C25" s="187">
        <f>D24</f>
        <v>1</v>
      </c>
      <c r="D25" s="192">
        <v>2</v>
      </c>
      <c r="E25" s="187">
        <v>5</v>
      </c>
      <c r="F25" s="187">
        <v>0</v>
      </c>
      <c r="G25" s="187">
        <v>5</v>
      </c>
      <c r="H25" s="187">
        <v>80</v>
      </c>
      <c r="I25" s="187">
        <v>10</v>
      </c>
      <c r="J25" s="187"/>
      <c r="K25" s="187"/>
      <c r="L25" s="187"/>
      <c r="O25" s="172">
        <f t="shared" si="42"/>
        <v>100</v>
      </c>
      <c r="P25" s="178">
        <f t="shared" ref="P25:U44" si="70">IF($B25=P$3,$D25-$C25,0)</f>
        <v>0</v>
      </c>
      <c r="Q25" s="178">
        <f t="shared" si="70"/>
        <v>1</v>
      </c>
      <c r="R25" s="178">
        <f t="shared" si="70"/>
        <v>0</v>
      </c>
      <c r="S25" s="178">
        <f t="shared" si="70"/>
        <v>0</v>
      </c>
      <c r="T25" s="178">
        <f t="shared" si="70"/>
        <v>0</v>
      </c>
      <c r="U25" s="178">
        <f t="shared" si="70"/>
        <v>0</v>
      </c>
      <c r="V25" s="178">
        <f t="shared" si="44"/>
        <v>1</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5</v>
      </c>
      <c r="AG25" s="178">
        <f t="shared" si="9"/>
        <v>0</v>
      </c>
      <c r="AH25" s="178">
        <f t="shared" si="10"/>
        <v>5</v>
      </c>
      <c r="AI25" s="178">
        <f t="shared" si="11"/>
        <v>80</v>
      </c>
      <c r="AJ25" s="178">
        <f t="shared" si="12"/>
        <v>10</v>
      </c>
      <c r="AK25" s="178">
        <f t="shared" si="13"/>
        <v>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5</v>
      </c>
      <c r="BU25" s="190">
        <f t="shared" si="35"/>
        <v>0</v>
      </c>
      <c r="BV25" s="190">
        <f t="shared" si="36"/>
        <v>5</v>
      </c>
      <c r="BW25" s="190">
        <f t="shared" si="37"/>
        <v>80</v>
      </c>
      <c r="BX25" s="190">
        <f t="shared" si="38"/>
        <v>10</v>
      </c>
      <c r="BY25" s="190">
        <f t="shared" si="39"/>
        <v>0</v>
      </c>
      <c r="BZ25" s="190">
        <f t="shared" si="40"/>
        <v>0</v>
      </c>
      <c r="CA25" s="190">
        <f t="shared" si="41"/>
        <v>0</v>
      </c>
    </row>
    <row r="26" spans="1:79" ht="20.100000000000001" customHeight="1">
      <c r="A26" s="191"/>
      <c r="B26" s="188" t="s">
        <v>67</v>
      </c>
      <c r="C26" s="187">
        <f t="shared" ref="C26" si="71">D25</f>
        <v>2</v>
      </c>
      <c r="D26" s="192">
        <v>52</v>
      </c>
      <c r="E26" s="187">
        <v>0</v>
      </c>
      <c r="F26" s="187">
        <v>0</v>
      </c>
      <c r="G26" s="187">
        <v>45</v>
      </c>
      <c r="H26" s="187">
        <v>50</v>
      </c>
      <c r="I26" s="187">
        <v>5</v>
      </c>
      <c r="J26" s="187"/>
      <c r="K26" s="187"/>
      <c r="L26" s="187"/>
      <c r="N26" s="189"/>
      <c r="O26" s="172">
        <f t="shared" si="42"/>
        <v>100</v>
      </c>
      <c r="P26" s="178">
        <f t="shared" si="70"/>
        <v>0</v>
      </c>
      <c r="Q26" s="178">
        <f t="shared" si="70"/>
        <v>0</v>
      </c>
      <c r="R26" s="178">
        <f t="shared" si="70"/>
        <v>50</v>
      </c>
      <c r="S26" s="178">
        <f t="shared" si="70"/>
        <v>0</v>
      </c>
      <c r="T26" s="178">
        <f t="shared" si="70"/>
        <v>0</v>
      </c>
      <c r="U26" s="178">
        <f t="shared" si="70"/>
        <v>0</v>
      </c>
      <c r="V26" s="178">
        <f t="shared" si="44"/>
        <v>50</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0</v>
      </c>
      <c r="AO26" s="178">
        <f t="shared" si="17"/>
        <v>0</v>
      </c>
      <c r="AP26" s="178">
        <f t="shared" si="18"/>
        <v>2250</v>
      </c>
      <c r="AQ26" s="178">
        <f t="shared" si="19"/>
        <v>2500</v>
      </c>
      <c r="AR26" s="178">
        <f t="shared" si="20"/>
        <v>250</v>
      </c>
      <c r="AS26" s="178">
        <f t="shared" si="21"/>
        <v>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0</v>
      </c>
      <c r="BU26" s="190">
        <f t="shared" si="35"/>
        <v>0</v>
      </c>
      <c r="BV26" s="190">
        <f t="shared" si="36"/>
        <v>2250</v>
      </c>
      <c r="BW26" s="190">
        <f t="shared" si="37"/>
        <v>2500</v>
      </c>
      <c r="BX26" s="190">
        <f t="shared" si="38"/>
        <v>250</v>
      </c>
      <c r="BY26" s="190">
        <f t="shared" si="39"/>
        <v>0</v>
      </c>
      <c r="BZ26" s="190">
        <f t="shared" si="40"/>
        <v>0</v>
      </c>
      <c r="CA26" s="190">
        <f t="shared" si="41"/>
        <v>0</v>
      </c>
    </row>
    <row r="27" spans="1:79" ht="20.100000000000001" customHeight="1">
      <c r="A27" s="191"/>
      <c r="B27" s="188" t="s">
        <v>185</v>
      </c>
      <c r="C27" s="187">
        <f>D26</f>
        <v>52</v>
      </c>
      <c r="D27" s="192">
        <v>72</v>
      </c>
      <c r="E27" s="187">
        <v>0</v>
      </c>
      <c r="F27" s="187">
        <v>0</v>
      </c>
      <c r="G27" s="187">
        <v>45</v>
      </c>
      <c r="H27" s="187">
        <v>50</v>
      </c>
      <c r="I27" s="187">
        <v>5</v>
      </c>
      <c r="J27" s="187"/>
      <c r="K27" s="187"/>
      <c r="L27" s="187"/>
      <c r="N27" s="189"/>
      <c r="O27" s="172">
        <f t="shared" si="42"/>
        <v>100</v>
      </c>
      <c r="P27" s="178">
        <f t="shared" si="70"/>
        <v>0</v>
      </c>
      <c r="Q27" s="178">
        <f t="shared" si="70"/>
        <v>0</v>
      </c>
      <c r="R27" s="178">
        <f t="shared" si="70"/>
        <v>0</v>
      </c>
      <c r="S27" s="178">
        <f t="shared" si="70"/>
        <v>20</v>
      </c>
      <c r="T27" s="178">
        <f t="shared" si="70"/>
        <v>0</v>
      </c>
      <c r="U27" s="178">
        <f t="shared" si="70"/>
        <v>0</v>
      </c>
      <c r="V27" s="178">
        <f t="shared" si="44"/>
        <v>20</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0</v>
      </c>
      <c r="AW27" s="178">
        <f t="shared" si="25"/>
        <v>0</v>
      </c>
      <c r="AX27" s="178">
        <f t="shared" si="26"/>
        <v>900</v>
      </c>
      <c r="AY27" s="178">
        <f t="shared" si="27"/>
        <v>1000</v>
      </c>
      <c r="AZ27" s="178">
        <f t="shared" si="28"/>
        <v>100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0</v>
      </c>
      <c r="BU27" s="190">
        <f t="shared" si="35"/>
        <v>0</v>
      </c>
      <c r="BV27" s="190">
        <f t="shared" si="36"/>
        <v>900</v>
      </c>
      <c r="BW27" s="190">
        <f t="shared" si="37"/>
        <v>1000</v>
      </c>
      <c r="BX27" s="190">
        <f t="shared" si="38"/>
        <v>100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5" activePane="bottomLeft" state="frozen"/>
      <selection pane="bottomLeft" activeCell="P29" sqref="P29"/>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8" t="s">
        <v>173</v>
      </c>
      <c r="E1" s="398"/>
      <c r="F1" s="197"/>
      <c r="G1" s="199" t="str">
        <f>[1]Woody!G1</f>
        <v>Date of Assessment:</v>
      </c>
      <c r="H1" s="200"/>
      <c r="I1" s="173">
        <f>Woody!F1</f>
        <v>40476</v>
      </c>
      <c r="J1" s="201"/>
      <c r="K1" s="200" t="s">
        <v>141</v>
      </c>
      <c r="L1" s="201" t="str">
        <f>Woody!H1</f>
        <v>Mooi / Vaal @ OSEAH 11 3</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5" t="s">
        <v>174</v>
      </c>
      <c r="I3" s="396"/>
      <c r="J3" s="396"/>
      <c r="K3" s="396"/>
      <c r="L3" s="396"/>
      <c r="M3" s="396"/>
      <c r="N3" s="396"/>
      <c r="O3" s="396"/>
      <c r="P3" s="397"/>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191</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1</v>
      </c>
      <c r="H5" s="223">
        <v>0</v>
      </c>
      <c r="I5" s="223">
        <v>0</v>
      </c>
      <c r="J5" s="223">
        <v>0</v>
      </c>
      <c r="K5" s="223">
        <v>5</v>
      </c>
      <c r="L5" s="223">
        <v>95</v>
      </c>
      <c r="M5" s="223">
        <v>0</v>
      </c>
      <c r="N5" s="223">
        <v>0</v>
      </c>
      <c r="O5" s="223">
        <v>0</v>
      </c>
      <c r="P5" s="223">
        <v>0</v>
      </c>
      <c r="R5" s="224"/>
      <c r="S5" s="205">
        <f>SUM(H5:P5)</f>
        <v>100</v>
      </c>
      <c r="T5" s="163">
        <f>IF($E5=T$4,$G5-$F5,0)</f>
        <v>1</v>
      </c>
      <c r="U5" s="163">
        <f>IF($E5=U$4,$G5-$F5,0)</f>
        <v>0</v>
      </c>
      <c r="V5" s="163">
        <f>IF($E5=V$4,$G5-$F5,0)</f>
        <v>0</v>
      </c>
      <c r="W5" s="163">
        <f>IF($E5=W$4,$G5-$F5,0)</f>
        <v>0</v>
      </c>
      <c r="X5" s="163">
        <f t="shared" ref="X5:Y20" si="6">IF($E5=X$4,$G5-$F5,0)</f>
        <v>0</v>
      </c>
      <c r="Y5" s="163">
        <f t="shared" si="6"/>
        <v>0</v>
      </c>
      <c r="Z5" s="163">
        <f>IF(G5&gt;0,G5-F5,0)</f>
        <v>1</v>
      </c>
      <c r="AB5" s="206" t="str">
        <f>Woody!W5</f>
        <v>Upper MCB</v>
      </c>
      <c r="AC5" s="163">
        <f>IF($E5=$AB$2,H5*$T5,"")</f>
        <v>0</v>
      </c>
      <c r="AD5" s="163">
        <f t="shared" ref="AD5:AD36" si="7">IF($E5=$AB$2,I5*$T5,"")</f>
        <v>0</v>
      </c>
      <c r="AE5" s="163">
        <f t="shared" ref="AE5:AE36" si="8">IF($E5=$AB$2,J5*$T5,"")</f>
        <v>0</v>
      </c>
      <c r="AF5" s="163">
        <f t="shared" ref="AF5:AF36" si="9">IF($E5=$AB$2,K5*$T5,"")</f>
        <v>5</v>
      </c>
      <c r="AG5" s="163">
        <f t="shared" ref="AG5:AG36" si="10">IF($E5=$AB$2,L5*$T5,"")</f>
        <v>95</v>
      </c>
      <c r="AH5" s="163">
        <f>IF($E5=$AB$2,M5*$T5,"")</f>
        <v>0</v>
      </c>
      <c r="AI5" s="163">
        <f t="shared" ref="AI5:AI36" si="11">IF($E5=$AB$2,N5*$T5,"")</f>
        <v>0</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0</v>
      </c>
      <c r="CF5" s="204">
        <f t="shared" ref="CF5:CF36" si="37">$Z5*I5</f>
        <v>0</v>
      </c>
      <c r="CG5" s="204">
        <f t="shared" ref="CG5:CG36" si="38">$Z5*J5</f>
        <v>0</v>
      </c>
      <c r="CH5" s="204">
        <f t="shared" ref="CH5:CH36" si="39">$Z5*K5</f>
        <v>5</v>
      </c>
      <c r="CI5" s="204">
        <f t="shared" ref="CI5:CI36" si="40">$Z5*L5</f>
        <v>95</v>
      </c>
      <c r="CJ5" s="204">
        <f>$Z5*M5</f>
        <v>0</v>
      </c>
      <c r="CK5" s="204">
        <f t="shared" ref="CK5:CK36" si="41">$Z5*N5</f>
        <v>0</v>
      </c>
      <c r="CL5" s="204">
        <f t="shared" ref="CL5:CL36" si="42">$Z5*O5</f>
        <v>0</v>
      </c>
      <c r="CM5" s="204">
        <f t="shared" ref="CM5:CM36" si="43">$Z5*P5</f>
        <v>0</v>
      </c>
    </row>
    <row r="6" spans="1:281" ht="20.100000000000001" customHeight="1">
      <c r="A6" s="225"/>
      <c r="B6" s="226"/>
      <c r="C6" s="226"/>
      <c r="D6" s="221"/>
      <c r="E6" s="221" t="str">
        <f>Woody!B5</f>
        <v>Lower</v>
      </c>
      <c r="F6" s="222">
        <f>Woody!C5</f>
        <v>1</v>
      </c>
      <c r="G6" s="222">
        <f>Woody!D5</f>
        <v>6</v>
      </c>
      <c r="H6" s="223">
        <v>0</v>
      </c>
      <c r="I6" s="223">
        <v>0</v>
      </c>
      <c r="J6" s="223">
        <v>0</v>
      </c>
      <c r="K6" s="223">
        <v>5</v>
      </c>
      <c r="L6" s="223">
        <v>95</v>
      </c>
      <c r="M6" s="223">
        <v>0</v>
      </c>
      <c r="N6" s="223">
        <v>0</v>
      </c>
      <c r="O6" s="223">
        <v>0</v>
      </c>
      <c r="P6" s="223">
        <v>0</v>
      </c>
      <c r="R6" s="224"/>
      <c r="S6" s="205">
        <f>SUM(H6:P6)</f>
        <v>100</v>
      </c>
      <c r="T6" s="163">
        <f t="shared" ref="T6:Y37" si="44">IF($E6=T$4,$G6-$F6,0)</f>
        <v>0</v>
      </c>
      <c r="U6" s="163">
        <f t="shared" si="44"/>
        <v>5</v>
      </c>
      <c r="V6" s="163">
        <f t="shared" si="44"/>
        <v>0</v>
      </c>
      <c r="W6" s="163">
        <f t="shared" si="44"/>
        <v>0</v>
      </c>
      <c r="X6" s="163">
        <f t="shared" si="6"/>
        <v>0</v>
      </c>
      <c r="Y6" s="163">
        <f t="shared" si="6"/>
        <v>0</v>
      </c>
      <c r="Z6" s="163">
        <f t="shared" ref="Z6:Z69" si="45">IF(G6&gt;0,G6-F6,0)</f>
        <v>5</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0</v>
      </c>
      <c r="AM6" s="163">
        <f t="shared" si="14"/>
        <v>0</v>
      </c>
      <c r="AN6" s="163">
        <f t="shared" si="15"/>
        <v>0</v>
      </c>
      <c r="AO6" s="163">
        <f t="shared" si="16"/>
        <v>25</v>
      </c>
      <c r="AP6" s="163">
        <f t="shared" si="17"/>
        <v>475</v>
      </c>
      <c r="AQ6" s="163">
        <f>IF($E6=$AB$3,M6*$U6,"")</f>
        <v>0</v>
      </c>
      <c r="AR6" s="163">
        <f t="shared" si="18"/>
        <v>0</v>
      </c>
      <c r="AS6" s="163">
        <f t="shared" si="19"/>
        <v>0</v>
      </c>
      <c r="AT6" s="163">
        <f t="shared" si="20"/>
        <v>0</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0</v>
      </c>
      <c r="CF6" s="204">
        <f t="shared" si="37"/>
        <v>0</v>
      </c>
      <c r="CG6" s="204">
        <f t="shared" si="38"/>
        <v>0</v>
      </c>
      <c r="CH6" s="204">
        <f t="shared" si="39"/>
        <v>25</v>
      </c>
      <c r="CI6" s="204">
        <f t="shared" si="40"/>
        <v>475</v>
      </c>
      <c r="CJ6" s="204">
        <f>$Z6*M6</f>
        <v>0</v>
      </c>
      <c r="CK6" s="204">
        <f t="shared" si="41"/>
        <v>0</v>
      </c>
      <c r="CL6" s="204">
        <f t="shared" si="42"/>
        <v>0</v>
      </c>
      <c r="CM6" s="204">
        <f t="shared" si="43"/>
        <v>0</v>
      </c>
    </row>
    <row r="7" spans="1:281" ht="20.100000000000001" customHeight="1">
      <c r="A7" s="227"/>
      <c r="B7" s="228"/>
      <c r="C7" s="228"/>
      <c r="D7" s="221"/>
      <c r="E7" s="221" t="str">
        <f>Woody!B6</f>
        <v>Upper</v>
      </c>
      <c r="F7" s="222">
        <f>Woody!C6</f>
        <v>6</v>
      </c>
      <c r="G7" s="222">
        <f>Woody!D6</f>
        <v>76</v>
      </c>
      <c r="H7" s="223">
        <v>0</v>
      </c>
      <c r="I7" s="223">
        <v>0</v>
      </c>
      <c r="J7" s="223">
        <v>0</v>
      </c>
      <c r="K7" s="223">
        <v>5</v>
      </c>
      <c r="L7" s="223">
        <v>55</v>
      </c>
      <c r="M7" s="223">
        <v>5</v>
      </c>
      <c r="N7" s="223">
        <v>5</v>
      </c>
      <c r="O7" s="223">
        <v>20</v>
      </c>
      <c r="P7" s="223">
        <v>10</v>
      </c>
      <c r="R7" s="224"/>
      <c r="S7" s="205">
        <f>SUM(H7:P7)</f>
        <v>100</v>
      </c>
      <c r="T7" s="163">
        <f t="shared" si="44"/>
        <v>0</v>
      </c>
      <c r="U7" s="163">
        <f t="shared" si="44"/>
        <v>0</v>
      </c>
      <c r="V7" s="163">
        <f t="shared" si="44"/>
        <v>70</v>
      </c>
      <c r="W7" s="163">
        <f t="shared" si="44"/>
        <v>0</v>
      </c>
      <c r="X7" s="163">
        <f t="shared" si="6"/>
        <v>0</v>
      </c>
      <c r="Y7" s="163">
        <f t="shared" si="6"/>
        <v>0</v>
      </c>
      <c r="Z7" s="163">
        <f t="shared" si="45"/>
        <v>70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0</v>
      </c>
      <c r="AV7" s="163">
        <f t="shared" si="21"/>
        <v>0</v>
      </c>
      <c r="AW7" s="163">
        <f t="shared" si="22"/>
        <v>0</v>
      </c>
      <c r="AX7" s="163">
        <f t="shared" si="23"/>
        <v>350</v>
      </c>
      <c r="AY7" s="163">
        <f t="shared" si="24"/>
        <v>3850</v>
      </c>
      <c r="AZ7" s="163">
        <f>IF($E7=$AB$4,M7*$V7,"")</f>
        <v>350</v>
      </c>
      <c r="BA7" s="163">
        <f t="shared" si="25"/>
        <v>350</v>
      </c>
      <c r="BB7" s="163">
        <f t="shared" si="26"/>
        <v>1400</v>
      </c>
      <c r="BC7" s="163">
        <f t="shared" si="27"/>
        <v>700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0</v>
      </c>
      <c r="CF7" s="204">
        <f t="shared" si="37"/>
        <v>0</v>
      </c>
      <c r="CG7" s="204">
        <f t="shared" si="38"/>
        <v>0</v>
      </c>
      <c r="CH7" s="204">
        <f t="shared" si="39"/>
        <v>350</v>
      </c>
      <c r="CI7" s="204">
        <f t="shared" si="40"/>
        <v>3850</v>
      </c>
      <c r="CJ7" s="204">
        <f>$Z7*M7</f>
        <v>350</v>
      </c>
      <c r="CK7" s="204">
        <f t="shared" si="41"/>
        <v>350</v>
      </c>
      <c r="CL7" s="204">
        <f t="shared" si="42"/>
        <v>1400</v>
      </c>
      <c r="CM7" s="204">
        <f t="shared" si="43"/>
        <v>700</v>
      </c>
    </row>
    <row r="8" spans="1:281" ht="20.100000000000001" customHeight="1">
      <c r="A8" s="225"/>
      <c r="B8" s="229"/>
      <c r="C8" s="229"/>
      <c r="D8" s="221"/>
      <c r="E8" s="221" t="str">
        <f>Woody!B7</f>
        <v>Upper MCB</v>
      </c>
      <c r="F8" s="222">
        <f>Woody!C7</f>
        <v>76</v>
      </c>
      <c r="G8" s="222">
        <f>Woody!D7</f>
        <v>96</v>
      </c>
      <c r="H8" s="223">
        <v>0</v>
      </c>
      <c r="I8" s="223">
        <v>0</v>
      </c>
      <c r="J8" s="223">
        <v>0</v>
      </c>
      <c r="K8" s="223">
        <v>5</v>
      </c>
      <c r="L8" s="223">
        <v>60</v>
      </c>
      <c r="M8" s="223">
        <v>5</v>
      </c>
      <c r="N8" s="223">
        <v>5</v>
      </c>
      <c r="O8" s="223">
        <v>20</v>
      </c>
      <c r="P8" s="223">
        <v>5</v>
      </c>
      <c r="R8" s="224"/>
      <c r="S8" s="205">
        <f>SUM(H8:P8)</f>
        <v>100</v>
      </c>
      <c r="T8" s="163">
        <f t="shared" si="44"/>
        <v>0</v>
      </c>
      <c r="U8" s="163">
        <f t="shared" si="44"/>
        <v>0</v>
      </c>
      <c r="V8" s="163">
        <f t="shared" si="44"/>
        <v>0</v>
      </c>
      <c r="W8" s="163">
        <f t="shared" si="44"/>
        <v>20</v>
      </c>
      <c r="X8" s="163">
        <f t="shared" si="6"/>
        <v>0</v>
      </c>
      <c r="Y8" s="163">
        <f t="shared" si="6"/>
        <v>0</v>
      </c>
      <c r="Z8" s="163">
        <f t="shared" si="45"/>
        <v>20</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100</v>
      </c>
      <c r="BH8" s="163">
        <f t="shared" si="31"/>
        <v>1200</v>
      </c>
      <c r="BI8" s="163">
        <f>IF($E8=$AB$5,M8*$W8,"")</f>
        <v>100</v>
      </c>
      <c r="BJ8" s="163">
        <f t="shared" si="32"/>
        <v>100</v>
      </c>
      <c r="BK8" s="163">
        <f t="shared" si="33"/>
        <v>400</v>
      </c>
      <c r="BL8" s="163">
        <f t="shared" si="34"/>
        <v>100</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100</v>
      </c>
      <c r="CI8" s="204">
        <f t="shared" si="40"/>
        <v>1200</v>
      </c>
      <c r="CJ8" s="204">
        <f>$Z8*M8</f>
        <v>100</v>
      </c>
      <c r="CK8" s="204">
        <f t="shared" si="41"/>
        <v>100</v>
      </c>
      <c r="CL8" s="204">
        <f t="shared" si="42"/>
        <v>400</v>
      </c>
      <c r="CM8" s="204">
        <f t="shared" si="43"/>
        <v>100</v>
      </c>
    </row>
    <row r="9" spans="1:281" ht="20.100000000000001" customHeight="1">
      <c r="A9" s="225"/>
      <c r="B9" s="226"/>
      <c r="C9" s="226"/>
      <c r="D9" s="221"/>
      <c r="E9" s="221" t="str">
        <f>Woody!B8</f>
        <v>Floodplain</v>
      </c>
      <c r="F9" s="222">
        <f>Woody!C8</f>
        <v>0</v>
      </c>
      <c r="G9" s="222">
        <f>Woody!D8</f>
        <v>0</v>
      </c>
      <c r="H9" s="223"/>
      <c r="I9" s="223"/>
      <c r="J9" s="223"/>
      <c r="K9" s="223"/>
      <c r="L9" s="223"/>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v>
      </c>
      <c r="H25" s="223">
        <v>0</v>
      </c>
      <c r="I25" s="223">
        <v>5</v>
      </c>
      <c r="J25" s="223">
        <v>0</v>
      </c>
      <c r="K25" s="223">
        <v>5</v>
      </c>
      <c r="L25" s="223">
        <v>90</v>
      </c>
      <c r="M25" s="223">
        <v>0</v>
      </c>
      <c r="N25" s="223">
        <v>0</v>
      </c>
      <c r="O25" s="223">
        <v>0</v>
      </c>
      <c r="P25" s="223">
        <v>0</v>
      </c>
      <c r="R25" s="224"/>
      <c r="S25" s="205">
        <f t="shared" si="60"/>
        <v>100</v>
      </c>
      <c r="T25" s="163">
        <f t="shared" si="44"/>
        <v>1</v>
      </c>
      <c r="U25" s="163">
        <f t="shared" si="44"/>
        <v>0</v>
      </c>
      <c r="V25" s="163">
        <f t="shared" si="44"/>
        <v>0</v>
      </c>
      <c r="W25" s="163">
        <f t="shared" si="44"/>
        <v>0</v>
      </c>
      <c r="X25" s="163">
        <f t="shared" si="44"/>
        <v>0</v>
      </c>
      <c r="Y25" s="163">
        <f t="shared" si="44"/>
        <v>0</v>
      </c>
      <c r="Z25" s="163">
        <f t="shared" si="45"/>
        <v>1</v>
      </c>
      <c r="AC25" s="163">
        <f t="shared" si="61"/>
        <v>0</v>
      </c>
      <c r="AD25" s="163">
        <f t="shared" si="7"/>
        <v>5</v>
      </c>
      <c r="AE25" s="163">
        <f t="shared" si="8"/>
        <v>0</v>
      </c>
      <c r="AF25" s="163">
        <f t="shared" si="9"/>
        <v>5</v>
      </c>
      <c r="AG25" s="163">
        <f t="shared" si="10"/>
        <v>90</v>
      </c>
      <c r="AH25" s="163">
        <f t="shared" si="62"/>
        <v>0</v>
      </c>
      <c r="AI25" s="163">
        <f t="shared" si="11"/>
        <v>0</v>
      </c>
      <c r="AJ25" s="163">
        <f t="shared" si="12"/>
        <v>0</v>
      </c>
      <c r="AK25" s="163">
        <f t="shared" si="13"/>
        <v>0</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0</v>
      </c>
      <c r="CF25" s="204">
        <f t="shared" si="37"/>
        <v>5</v>
      </c>
      <c r="CG25" s="204">
        <f t="shared" si="38"/>
        <v>0</v>
      </c>
      <c r="CH25" s="204">
        <f t="shared" si="39"/>
        <v>5</v>
      </c>
      <c r="CI25" s="204">
        <f t="shared" si="40"/>
        <v>90</v>
      </c>
      <c r="CJ25" s="204">
        <f t="shared" si="74"/>
        <v>0</v>
      </c>
      <c r="CK25" s="204">
        <f t="shared" si="41"/>
        <v>0</v>
      </c>
      <c r="CL25" s="204">
        <f t="shared" si="42"/>
        <v>0</v>
      </c>
      <c r="CM25" s="204">
        <f t="shared" si="43"/>
        <v>0</v>
      </c>
    </row>
    <row r="26" spans="1:91" ht="20.100000000000001" customHeight="1">
      <c r="A26" s="225"/>
      <c r="B26" s="226"/>
      <c r="C26" s="226"/>
      <c r="D26" s="225"/>
      <c r="E26" s="221" t="str">
        <f>Woody!B25</f>
        <v>Lower</v>
      </c>
      <c r="F26" s="222">
        <f>Woody!C25</f>
        <v>1</v>
      </c>
      <c r="G26" s="222">
        <f>Woody!D25</f>
        <v>2</v>
      </c>
      <c r="H26" s="223">
        <v>0</v>
      </c>
      <c r="I26" s="223">
        <v>5</v>
      </c>
      <c r="J26" s="223">
        <v>0</v>
      </c>
      <c r="K26" s="223">
        <v>5</v>
      </c>
      <c r="L26" s="223">
        <v>85</v>
      </c>
      <c r="M26" s="223">
        <v>5</v>
      </c>
      <c r="N26" s="223">
        <v>0</v>
      </c>
      <c r="O26" s="223">
        <v>0</v>
      </c>
      <c r="P26" s="223">
        <v>0</v>
      </c>
      <c r="S26" s="205">
        <f t="shared" si="60"/>
        <v>100</v>
      </c>
      <c r="T26" s="163">
        <f t="shared" si="44"/>
        <v>0</v>
      </c>
      <c r="U26" s="163">
        <f t="shared" si="44"/>
        <v>1</v>
      </c>
      <c r="V26" s="163">
        <f t="shared" si="44"/>
        <v>0</v>
      </c>
      <c r="W26" s="163">
        <f t="shared" si="44"/>
        <v>0</v>
      </c>
      <c r="X26" s="163">
        <f t="shared" si="44"/>
        <v>0</v>
      </c>
      <c r="Y26" s="163">
        <f t="shared" si="44"/>
        <v>0</v>
      </c>
      <c r="Z26" s="163">
        <f t="shared" si="45"/>
        <v>1</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0</v>
      </c>
      <c r="AM26" s="163">
        <f t="shared" si="14"/>
        <v>5</v>
      </c>
      <c r="AN26" s="163">
        <f t="shared" si="15"/>
        <v>0</v>
      </c>
      <c r="AO26" s="163">
        <f t="shared" si="16"/>
        <v>5</v>
      </c>
      <c r="AP26" s="163">
        <f t="shared" si="17"/>
        <v>85</v>
      </c>
      <c r="AQ26" s="163">
        <f t="shared" si="64"/>
        <v>5</v>
      </c>
      <c r="AR26" s="163">
        <f t="shared" si="18"/>
        <v>0</v>
      </c>
      <c r="AS26" s="163">
        <f t="shared" si="19"/>
        <v>0</v>
      </c>
      <c r="AT26" s="163">
        <f t="shared" si="20"/>
        <v>0</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0</v>
      </c>
      <c r="CF26" s="204">
        <f t="shared" si="37"/>
        <v>5</v>
      </c>
      <c r="CG26" s="204">
        <f t="shared" si="38"/>
        <v>0</v>
      </c>
      <c r="CH26" s="204">
        <f t="shared" si="39"/>
        <v>5</v>
      </c>
      <c r="CI26" s="204">
        <f t="shared" si="40"/>
        <v>85</v>
      </c>
      <c r="CJ26" s="204">
        <f t="shared" si="74"/>
        <v>5</v>
      </c>
      <c r="CK26" s="204">
        <f t="shared" si="41"/>
        <v>0</v>
      </c>
      <c r="CL26" s="204">
        <f t="shared" si="42"/>
        <v>0</v>
      </c>
      <c r="CM26" s="204">
        <f t="shared" si="43"/>
        <v>0</v>
      </c>
    </row>
    <row r="27" spans="1:91" ht="20.100000000000001" customHeight="1">
      <c r="A27" s="225"/>
      <c r="B27" s="226"/>
      <c r="C27" s="226"/>
      <c r="D27" s="225"/>
      <c r="E27" s="221" t="str">
        <f>Woody!B26</f>
        <v>Upper</v>
      </c>
      <c r="F27" s="222">
        <f>Woody!C26</f>
        <v>2</v>
      </c>
      <c r="G27" s="222">
        <f>Woody!D26</f>
        <v>52</v>
      </c>
      <c r="H27" s="223">
        <v>0</v>
      </c>
      <c r="I27" s="223">
        <v>0</v>
      </c>
      <c r="J27" s="223">
        <v>0</v>
      </c>
      <c r="K27" s="223">
        <v>0</v>
      </c>
      <c r="L27" s="223">
        <v>5</v>
      </c>
      <c r="M27" s="223">
        <v>65</v>
      </c>
      <c r="N27" s="223">
        <v>0</v>
      </c>
      <c r="O27" s="223">
        <v>0</v>
      </c>
      <c r="P27" s="223">
        <v>30</v>
      </c>
      <c r="R27" s="224"/>
      <c r="S27" s="205">
        <f t="shared" si="60"/>
        <v>100</v>
      </c>
      <c r="T27" s="163">
        <f t="shared" si="44"/>
        <v>0</v>
      </c>
      <c r="U27" s="163">
        <f t="shared" si="44"/>
        <v>0</v>
      </c>
      <c r="V27" s="163">
        <f t="shared" si="44"/>
        <v>50</v>
      </c>
      <c r="W27" s="163">
        <f t="shared" si="44"/>
        <v>0</v>
      </c>
      <c r="X27" s="163">
        <f t="shared" si="44"/>
        <v>0</v>
      </c>
      <c r="Y27" s="163">
        <f t="shared" si="44"/>
        <v>0</v>
      </c>
      <c r="Z27" s="163">
        <f t="shared" si="45"/>
        <v>50</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0</v>
      </c>
      <c r="AV27" s="163">
        <f t="shared" si="21"/>
        <v>0</v>
      </c>
      <c r="AW27" s="163">
        <f t="shared" si="22"/>
        <v>0</v>
      </c>
      <c r="AX27" s="163">
        <f t="shared" si="23"/>
        <v>0</v>
      </c>
      <c r="AY27" s="163">
        <f t="shared" si="24"/>
        <v>250</v>
      </c>
      <c r="AZ27" s="163">
        <f t="shared" si="66"/>
        <v>3250</v>
      </c>
      <c r="BA27" s="163">
        <f t="shared" si="25"/>
        <v>0</v>
      </c>
      <c r="BB27" s="163">
        <f t="shared" si="26"/>
        <v>0</v>
      </c>
      <c r="BC27" s="163">
        <f t="shared" si="27"/>
        <v>1500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0</v>
      </c>
      <c r="CF27" s="204">
        <f t="shared" si="37"/>
        <v>0</v>
      </c>
      <c r="CG27" s="204">
        <f t="shared" si="38"/>
        <v>0</v>
      </c>
      <c r="CH27" s="204">
        <f t="shared" si="39"/>
        <v>0</v>
      </c>
      <c r="CI27" s="204">
        <f t="shared" si="40"/>
        <v>250</v>
      </c>
      <c r="CJ27" s="204">
        <f t="shared" si="74"/>
        <v>3250</v>
      </c>
      <c r="CK27" s="204">
        <f t="shared" si="41"/>
        <v>0</v>
      </c>
      <c r="CL27" s="204">
        <f t="shared" si="42"/>
        <v>0</v>
      </c>
      <c r="CM27" s="204">
        <f t="shared" si="43"/>
        <v>1500</v>
      </c>
    </row>
    <row r="28" spans="1:91" ht="20.100000000000001" customHeight="1">
      <c r="A28" s="225"/>
      <c r="B28" s="226"/>
      <c r="C28" s="226"/>
      <c r="D28" s="225"/>
      <c r="E28" s="221" t="str">
        <f>Woody!B27</f>
        <v>Upper MCB</v>
      </c>
      <c r="F28" s="222">
        <f>Woody!C27</f>
        <v>52</v>
      </c>
      <c r="G28" s="222">
        <f>Woody!D27</f>
        <v>72</v>
      </c>
      <c r="H28" s="223">
        <v>0</v>
      </c>
      <c r="I28" s="223">
        <v>0</v>
      </c>
      <c r="J28" s="223">
        <v>0</v>
      </c>
      <c r="K28" s="223">
        <v>0</v>
      </c>
      <c r="L28" s="223">
        <v>5</v>
      </c>
      <c r="M28" s="223">
        <v>70</v>
      </c>
      <c r="N28" s="223">
        <v>0</v>
      </c>
      <c r="O28" s="223">
        <v>0</v>
      </c>
      <c r="P28" s="223">
        <v>25</v>
      </c>
      <c r="R28" s="224"/>
      <c r="S28" s="205">
        <f t="shared" si="60"/>
        <v>100</v>
      </c>
      <c r="T28" s="163">
        <f t="shared" si="44"/>
        <v>0</v>
      </c>
      <c r="U28" s="163">
        <f t="shared" si="44"/>
        <v>0</v>
      </c>
      <c r="V28" s="163">
        <f t="shared" si="44"/>
        <v>0</v>
      </c>
      <c r="W28" s="163">
        <f t="shared" si="44"/>
        <v>20</v>
      </c>
      <c r="X28" s="163">
        <f t="shared" si="44"/>
        <v>0</v>
      </c>
      <c r="Y28" s="163">
        <f t="shared" si="44"/>
        <v>0</v>
      </c>
      <c r="Z28" s="163">
        <f t="shared" si="45"/>
        <v>20</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0</v>
      </c>
      <c r="BE28" s="163">
        <f t="shared" si="28"/>
        <v>0</v>
      </c>
      <c r="BF28" s="163">
        <f t="shared" si="29"/>
        <v>0</v>
      </c>
      <c r="BG28" s="163">
        <f t="shared" si="30"/>
        <v>0</v>
      </c>
      <c r="BH28" s="163">
        <f t="shared" si="31"/>
        <v>100</v>
      </c>
      <c r="BI28" s="163">
        <f t="shared" si="68"/>
        <v>1400</v>
      </c>
      <c r="BJ28" s="163">
        <f t="shared" si="32"/>
        <v>0</v>
      </c>
      <c r="BK28" s="163">
        <f t="shared" si="33"/>
        <v>0</v>
      </c>
      <c r="BL28" s="163">
        <f t="shared" si="34"/>
        <v>500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0</v>
      </c>
      <c r="CF28" s="204">
        <f t="shared" si="37"/>
        <v>0</v>
      </c>
      <c r="CG28" s="204">
        <f t="shared" si="38"/>
        <v>0</v>
      </c>
      <c r="CH28" s="204">
        <f t="shared" si="39"/>
        <v>0</v>
      </c>
      <c r="CI28" s="204">
        <f t="shared" si="40"/>
        <v>100</v>
      </c>
      <c r="CJ28" s="204">
        <f t="shared" si="74"/>
        <v>1400</v>
      </c>
      <c r="CK28" s="204">
        <f t="shared" si="41"/>
        <v>0</v>
      </c>
      <c r="CL28" s="204">
        <f t="shared" si="42"/>
        <v>0</v>
      </c>
      <c r="CM28" s="204">
        <f t="shared" si="43"/>
        <v>500</v>
      </c>
    </row>
    <row r="29" spans="1:91" ht="20.100000000000001" customHeight="1">
      <c r="A29" s="225"/>
      <c r="B29" s="226"/>
      <c r="C29" s="226"/>
      <c r="D29" s="225"/>
      <c r="E29" s="221" t="str">
        <f>Woody!B28</f>
        <v>Floodplain</v>
      </c>
      <c r="F29" s="222">
        <f>Woody!C28</f>
        <v>0</v>
      </c>
      <c r="G29" s="222">
        <f>Woody!D28</f>
        <v>0</v>
      </c>
      <c r="H29" s="223"/>
      <c r="I29" s="223"/>
      <c r="J29" s="223"/>
      <c r="K29" s="223"/>
      <c r="L29" s="223"/>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22" zoomScale="80" zoomScaleNormal="80" workbookViewId="0">
      <selection activeCell="D22" sqref="D22:I24"/>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v>4.5</v>
      </c>
      <c r="D4" s="98">
        <v>4</v>
      </c>
      <c r="E4" s="98">
        <v>4</v>
      </c>
      <c r="F4" s="405" t="s">
        <v>193</v>
      </c>
      <c r="G4" s="406"/>
      <c r="H4" s="406"/>
      <c r="I4" s="407"/>
      <c r="L4" s="39"/>
      <c r="M4" s="35"/>
      <c r="N4" s="35">
        <v>2.5</v>
      </c>
      <c r="O4" s="35">
        <v>1.5</v>
      </c>
      <c r="P4" s="3"/>
      <c r="Q4" s="3"/>
    </row>
    <row r="5" spans="1:17" ht="30" customHeight="1">
      <c r="A5" s="313"/>
      <c r="B5" s="314" t="s">
        <v>2</v>
      </c>
      <c r="C5" s="267">
        <f>VLOOKUP(ABS('Ref State Cover'!G4-'Ref State Cover'!G11),'Rating Guide'!$F$34:$G$44,2)</f>
        <v>4.5</v>
      </c>
      <c r="D5" s="100" t="s">
        <v>73</v>
      </c>
      <c r="E5" s="101">
        <v>5</v>
      </c>
      <c r="F5" s="408" t="s">
        <v>194</v>
      </c>
      <c r="G5" s="409"/>
      <c r="H5" s="409"/>
      <c r="I5" s="410"/>
      <c r="L5" s="39"/>
      <c r="M5" s="35"/>
      <c r="N5" s="35">
        <v>3</v>
      </c>
      <c r="O5" s="35">
        <v>2</v>
      </c>
      <c r="P5" s="3"/>
      <c r="Q5" s="3"/>
    </row>
    <row r="6" spans="1:17" ht="30" customHeight="1">
      <c r="A6" s="313"/>
      <c r="B6" s="314" t="s">
        <v>8</v>
      </c>
      <c r="C6" s="99">
        <v>1</v>
      </c>
      <c r="D6" s="101">
        <v>5</v>
      </c>
      <c r="E6" s="101">
        <v>2</v>
      </c>
      <c r="F6" s="408" t="s">
        <v>195</v>
      </c>
      <c r="G6" s="409"/>
      <c r="H6" s="409"/>
      <c r="I6" s="410"/>
      <c r="L6" s="39"/>
      <c r="M6" s="35"/>
      <c r="N6" s="35">
        <v>3.5</v>
      </c>
      <c r="O6" s="35">
        <v>2.5</v>
      </c>
      <c r="P6" s="3"/>
      <c r="Q6" s="3"/>
    </row>
    <row r="7" spans="1:17" ht="30" customHeight="1" thickBot="1">
      <c r="A7" s="311"/>
      <c r="B7" s="314" t="s">
        <v>3</v>
      </c>
      <c r="C7" s="102">
        <v>0.5</v>
      </c>
      <c r="D7" s="103">
        <v>5</v>
      </c>
      <c r="E7" s="103">
        <v>1.5</v>
      </c>
      <c r="F7" s="411" t="s">
        <v>196</v>
      </c>
      <c r="G7" s="412"/>
      <c r="H7" s="412"/>
      <c r="I7" s="413"/>
      <c r="L7" s="39"/>
      <c r="M7" s="35"/>
      <c r="N7" s="35">
        <v>4</v>
      </c>
      <c r="O7" s="35">
        <v>3</v>
      </c>
      <c r="P7" s="3"/>
      <c r="Q7" s="3"/>
    </row>
    <row r="8" spans="1:17" ht="30" customHeight="1" thickBot="1">
      <c r="A8" s="311"/>
      <c r="B8" s="315" t="s">
        <v>35</v>
      </c>
      <c r="C8" s="316"/>
      <c r="D8" s="317"/>
      <c r="E8" s="318">
        <f>AVERAGE(E4:E7)</f>
        <v>3.125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51" customHeight="1">
      <c r="A12" s="313"/>
      <c r="B12" s="446" t="s">
        <v>12</v>
      </c>
      <c r="C12" s="329" t="s">
        <v>1</v>
      </c>
      <c r="D12" s="271" t="s">
        <v>126</v>
      </c>
      <c r="E12" s="270">
        <v>3.5</v>
      </c>
      <c r="F12" s="41">
        <v>4</v>
      </c>
      <c r="G12" s="431" t="s">
        <v>197</v>
      </c>
      <c r="H12" s="432"/>
      <c r="I12" s="433"/>
      <c r="J12" s="34">
        <f t="shared" ref="J12:J17" si="0">IF(D12="Y",E12,IF(D12="N",""))</f>
        <v>3.5</v>
      </c>
      <c r="K12" s="34">
        <f t="shared" ref="K12:K17" si="1">IF(D12="Y",F12,IF(D12="N",""))</f>
        <v>4</v>
      </c>
      <c r="L12" s="39"/>
      <c r="M12" s="33"/>
      <c r="N12" s="33"/>
      <c r="O12" s="33"/>
    </row>
    <row r="13" spans="1:17" ht="30" customHeight="1">
      <c r="A13" s="313"/>
      <c r="B13" s="447"/>
      <c r="C13" s="330" t="s">
        <v>0</v>
      </c>
      <c r="D13" s="42" t="s">
        <v>126</v>
      </c>
      <c r="E13" s="363">
        <v>4</v>
      </c>
      <c r="F13" s="43">
        <v>4</v>
      </c>
      <c r="G13" s="426" t="s">
        <v>198</v>
      </c>
      <c r="H13" s="427"/>
      <c r="I13" s="428"/>
      <c r="J13" s="34">
        <f t="shared" si="0"/>
        <v>4</v>
      </c>
      <c r="K13" s="34">
        <f t="shared" si="1"/>
        <v>4</v>
      </c>
      <c r="L13" s="39"/>
      <c r="M13" s="36"/>
      <c r="N13" s="36"/>
      <c r="O13" s="36"/>
      <c r="P13" s="3"/>
      <c r="Q13" s="3"/>
    </row>
    <row r="14" spans="1:17" ht="30"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4</v>
      </c>
      <c r="F15" s="43">
        <v>4</v>
      </c>
      <c r="G15" s="426" t="s">
        <v>199</v>
      </c>
      <c r="H15" s="427"/>
      <c r="I15" s="428"/>
      <c r="J15" s="34">
        <f t="shared" si="0"/>
        <v>4</v>
      </c>
      <c r="K15" s="34">
        <f t="shared" si="1"/>
        <v>4</v>
      </c>
      <c r="L15" s="39"/>
      <c r="M15" s="36"/>
      <c r="N15" s="36"/>
      <c r="O15" s="36"/>
      <c r="P15" s="3"/>
      <c r="Q15" s="3"/>
    </row>
    <row r="16" spans="1:17" ht="48" customHeight="1">
      <c r="A16" s="313"/>
      <c r="B16" s="447"/>
      <c r="C16" s="330" t="s">
        <v>36</v>
      </c>
      <c r="D16" s="42" t="s">
        <v>126</v>
      </c>
      <c r="E16" s="268">
        <v>4</v>
      </c>
      <c r="F16" s="43">
        <v>4</v>
      </c>
      <c r="G16" s="426" t="s">
        <v>200</v>
      </c>
      <c r="H16" s="427"/>
      <c r="I16" s="428"/>
      <c r="J16" s="34">
        <f t="shared" si="0"/>
        <v>4</v>
      </c>
      <c r="K16" s="34">
        <f t="shared" si="1"/>
        <v>4</v>
      </c>
      <c r="L16" s="39"/>
      <c r="M16" s="36"/>
      <c r="N16" s="36"/>
      <c r="O16" s="36"/>
      <c r="P16" s="3"/>
      <c r="Q16" s="3"/>
    </row>
    <row r="17" spans="1:17" ht="81" customHeight="1" thickBot="1">
      <c r="A17" s="313"/>
      <c r="B17" s="447"/>
      <c r="C17" s="331" t="s">
        <v>34</v>
      </c>
      <c r="D17" s="44" t="s">
        <v>126</v>
      </c>
      <c r="E17" s="269">
        <v>4.5</v>
      </c>
      <c r="F17" s="45">
        <v>4</v>
      </c>
      <c r="G17" s="443" t="s">
        <v>201</v>
      </c>
      <c r="H17" s="444"/>
      <c r="I17" s="445"/>
      <c r="J17" s="34">
        <f t="shared" si="0"/>
        <v>4.5</v>
      </c>
      <c r="K17" s="34">
        <f t="shared" si="1"/>
        <v>4</v>
      </c>
      <c r="L17" s="39"/>
      <c r="O17" s="37"/>
      <c r="P17" s="8"/>
    </row>
    <row r="18" spans="1:17" ht="30" customHeight="1" thickBot="1">
      <c r="A18" s="313"/>
      <c r="B18" s="448"/>
      <c r="C18" s="332"/>
      <c r="D18" s="333"/>
      <c r="E18" s="334">
        <f>IF(J18&gt;0,SUM(J12:J17)/J18,"")</f>
        <v>4</v>
      </c>
      <c r="F18" s="335">
        <f>IF(K18&gt;0,SUM(K12:K17)/K18,"")</f>
        <v>4</v>
      </c>
      <c r="G18" s="336"/>
      <c r="H18" s="336"/>
      <c r="I18" s="337"/>
      <c r="J18" s="37">
        <f>COUNT(J12:J17)</f>
        <v>5</v>
      </c>
      <c r="K18" s="37">
        <f>COUNT(K12:K17)</f>
        <v>5</v>
      </c>
      <c r="L18" s="39"/>
      <c r="O18" s="37"/>
      <c r="P18" s="8"/>
    </row>
    <row r="19" spans="1:17" ht="57" customHeight="1">
      <c r="A19" s="313"/>
      <c r="B19" s="449" t="s">
        <v>110</v>
      </c>
      <c r="C19" s="329" t="s">
        <v>1</v>
      </c>
      <c r="D19" s="271" t="s">
        <v>188</v>
      </c>
      <c r="E19" s="270"/>
      <c r="F19" s="41"/>
      <c r="G19" s="420" t="s">
        <v>202</v>
      </c>
      <c r="H19" s="421"/>
      <c r="I19" s="422"/>
      <c r="J19" s="34" t="str">
        <f>IF(D19="Y",E19,IF(D19="N",""))</f>
        <v/>
      </c>
      <c r="K19" s="34" t="str">
        <f>IF(D19="Y",F19,IF(D19="N",""))</f>
        <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55.5" customHeight="1">
      <c r="A22" s="313"/>
      <c r="B22" s="449" t="s">
        <v>109</v>
      </c>
      <c r="C22" s="329" t="s">
        <v>1</v>
      </c>
      <c r="D22" s="40" t="s">
        <v>126</v>
      </c>
      <c r="E22" s="270">
        <v>4</v>
      </c>
      <c r="F22" s="41">
        <v>4</v>
      </c>
      <c r="G22" s="434" t="s">
        <v>203</v>
      </c>
      <c r="H22" s="435"/>
      <c r="I22" s="436"/>
      <c r="J22" s="34">
        <f>IF(D22="Y",E22,IF(D22="N",""))</f>
        <v>4</v>
      </c>
      <c r="K22" s="34">
        <f>IF(D22="Y",F22,IF(D22="N",""))</f>
        <v>4</v>
      </c>
      <c r="L22" s="39"/>
      <c r="O22" s="37"/>
      <c r="P22" s="8"/>
    </row>
    <row r="23" spans="1:17" ht="30" customHeight="1">
      <c r="A23" s="313"/>
      <c r="B23" s="450"/>
      <c r="C23" s="330" t="s">
        <v>0</v>
      </c>
      <c r="D23" s="42" t="s">
        <v>126</v>
      </c>
      <c r="E23" s="363">
        <v>4</v>
      </c>
      <c r="F23" s="43">
        <v>4</v>
      </c>
      <c r="G23" s="437" t="s">
        <v>204</v>
      </c>
      <c r="H23" s="438"/>
      <c r="I23" s="439"/>
      <c r="J23" s="34">
        <f>IF(D23="Y",E23,IF(D23="N",""))</f>
        <v>4</v>
      </c>
      <c r="K23" s="34">
        <f>IF(D23="Y",F23,IF(D23="N",""))</f>
        <v>4</v>
      </c>
      <c r="L23" s="39"/>
      <c r="O23" s="37"/>
      <c r="P23" s="8"/>
    </row>
    <row r="24" spans="1:17" ht="61.5" customHeight="1" thickBot="1">
      <c r="A24" s="313"/>
      <c r="B24" s="450"/>
      <c r="C24" s="331" t="s">
        <v>34</v>
      </c>
      <c r="D24" s="44" t="s">
        <v>126</v>
      </c>
      <c r="E24" s="269">
        <v>4.5</v>
      </c>
      <c r="F24" s="45">
        <v>4</v>
      </c>
      <c r="G24" s="440" t="s">
        <v>205</v>
      </c>
      <c r="H24" s="441"/>
      <c r="I24" s="442"/>
      <c r="J24" s="34">
        <f>IF(D24="Y",E24,IF(D24="N",""))</f>
        <v>4.5</v>
      </c>
      <c r="K24" s="34">
        <f>IF(D24="Y",F24,IF(D24="N",""))</f>
        <v>4</v>
      </c>
      <c r="L24" s="39"/>
      <c r="O24" s="37"/>
      <c r="P24" s="8"/>
    </row>
    <row r="25" spans="1:17" ht="30" customHeight="1" thickBot="1">
      <c r="A25" s="313"/>
      <c r="B25" s="451"/>
      <c r="C25" s="339"/>
      <c r="D25" s="333"/>
      <c r="E25" s="334">
        <f>IF(J25&gt;0,SUM(J22:J24)/J25,"")</f>
        <v>4.166666666666667</v>
      </c>
      <c r="F25" s="335">
        <f>IF(K25&gt;0,SUM(K22:K24)/K25,"")</f>
        <v>4</v>
      </c>
      <c r="G25" s="319"/>
      <c r="H25" s="319"/>
      <c r="I25" s="320"/>
      <c r="J25" s="37">
        <f>COUNT(J22:J24)</f>
        <v>3</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2</v>
      </c>
      <c r="E28" s="41">
        <v>80</v>
      </c>
      <c r="F28" s="360">
        <f>IF(E18="","",E18)</f>
        <v>4</v>
      </c>
      <c r="G28" s="346">
        <f>IF(C28="N","",IF(C28="Y",F28*(E28/100)))</f>
        <v>3.2</v>
      </c>
      <c r="H28" s="53">
        <f>IF(C28="y",F18,"")</f>
        <v>4</v>
      </c>
      <c r="I28" s="295"/>
      <c r="K28" s="347">
        <f>IF(C28="y",(E28*5)/100,0)</f>
        <v>4</v>
      </c>
      <c r="P28" s="3"/>
      <c r="Q28" s="3"/>
    </row>
    <row r="29" spans="1:17" ht="39.950000000000003" customHeight="1">
      <c r="B29" s="348" t="str">
        <f>B19</f>
        <v>SPECIAL CATEGORY (eg Reeds, Palmiet)</v>
      </c>
      <c r="C29" s="114" t="s">
        <v>188</v>
      </c>
      <c r="D29" s="43"/>
      <c r="E29" s="43"/>
      <c r="F29" s="53" t="str">
        <f>IF(E21="","",E19)</f>
        <v/>
      </c>
      <c r="G29" s="349" t="str">
        <f>IF(C29="N","",IF(C29="Y",F29*(E29/100)))</f>
        <v/>
      </c>
      <c r="H29" s="53" t="str">
        <f>IF(C29="y",F21,"")</f>
        <v/>
      </c>
      <c r="I29" s="124"/>
      <c r="K29" s="347">
        <f>IF(C29="y",(E29*5)/100,0)</f>
        <v>0</v>
      </c>
      <c r="P29" s="3"/>
      <c r="Q29" s="3"/>
    </row>
    <row r="30" spans="1:17" ht="39.950000000000003" customHeight="1" thickBot="1">
      <c r="B30" s="350" t="str">
        <f>B22</f>
        <v>NON-WOODY (Excl Reeds)</v>
      </c>
      <c r="C30" s="115" t="s">
        <v>126</v>
      </c>
      <c r="D30" s="45">
        <v>1</v>
      </c>
      <c r="E30" s="45">
        <v>100</v>
      </c>
      <c r="F30" s="54">
        <f>IF(E25="","",E25)</f>
        <v>4.166666666666667</v>
      </c>
      <c r="G30" s="351">
        <f>IF(C30="N","",IF(C30="Y",F30*(E30/100)))</f>
        <v>4.166666666666667</v>
      </c>
      <c r="H30" s="53">
        <f>IF(C30="y",F25,"")</f>
        <v>4</v>
      </c>
      <c r="I30" s="46"/>
      <c r="K30" s="347">
        <f>IF(C30="y",(E30*5)/100,0)</f>
        <v>5</v>
      </c>
      <c r="L30" s="38"/>
      <c r="M30" s="38"/>
      <c r="P30" s="3"/>
      <c r="Q30" s="3"/>
    </row>
    <row r="31" spans="1:17" ht="30" customHeight="1" thickBot="1">
      <c r="B31" s="316"/>
      <c r="C31" s="317"/>
      <c r="D31" s="317"/>
      <c r="E31" s="317"/>
      <c r="F31" s="317"/>
      <c r="G31" s="352">
        <f>SUM(G28:G30)</f>
        <v>7.3666666666666671</v>
      </c>
      <c r="H31" s="353">
        <f>AVERAGE(H28:H30)</f>
        <v>4</v>
      </c>
      <c r="I31" s="354"/>
      <c r="K31" s="34">
        <f>SUM(K28:K30)</f>
        <v>9</v>
      </c>
    </row>
    <row r="32" spans="1:17" ht="39" customHeight="1" thickBot="1">
      <c r="A32" s="355"/>
      <c r="B32" s="429" t="s">
        <v>139</v>
      </c>
      <c r="C32" s="430"/>
      <c r="D32" s="430"/>
      <c r="E32" s="356">
        <f>(G31/K31)*100</f>
        <v>81.851851851851848</v>
      </c>
      <c r="F32" s="36" t="str">
        <f>'RIPARIAN ZONE EC'!D20</f>
        <v>E/F</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 ref="C2:E2"/>
    <mergeCell ref="D10:F10"/>
    <mergeCell ref="F4:I4"/>
    <mergeCell ref="F5:I5"/>
    <mergeCell ref="F6:I6"/>
    <mergeCell ref="F7:I7"/>
    <mergeCell ref="F3:I3"/>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22" zoomScale="80" zoomScaleNormal="80" workbookViewId="0">
      <selection activeCell="D19" sqref="D19:I2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53.25" customHeight="1">
      <c r="A4" s="311"/>
      <c r="B4" s="312" t="s">
        <v>4</v>
      </c>
      <c r="C4" s="97">
        <v>3.5</v>
      </c>
      <c r="D4" s="98">
        <v>4</v>
      </c>
      <c r="E4" s="98">
        <v>4</v>
      </c>
      <c r="F4" s="405" t="s">
        <v>193</v>
      </c>
      <c r="G4" s="406"/>
      <c r="H4" s="406"/>
      <c r="I4" s="407"/>
      <c r="L4" s="39"/>
      <c r="M4" s="35"/>
      <c r="N4" s="35">
        <v>2.5</v>
      </c>
      <c r="O4" s="35">
        <v>1.5</v>
      </c>
      <c r="P4" s="3"/>
      <c r="Q4" s="3"/>
    </row>
    <row r="5" spans="1:17" ht="30" customHeight="1">
      <c r="A5" s="313"/>
      <c r="B5" s="314" t="s">
        <v>2</v>
      </c>
      <c r="C5" s="267">
        <f>VLOOKUP(ABS('Ref State Cover'!G5-'Ref State Cover'!G12),'Rating Guide'!$F$34:$G$44,2)</f>
        <v>4.5</v>
      </c>
      <c r="D5" s="100" t="s">
        <v>73</v>
      </c>
      <c r="E5" s="101">
        <v>5</v>
      </c>
      <c r="F5" s="408" t="s">
        <v>194</v>
      </c>
      <c r="G5" s="409"/>
      <c r="H5" s="409"/>
      <c r="I5" s="410"/>
      <c r="L5" s="39"/>
      <c r="M5" s="35"/>
      <c r="N5" s="35">
        <v>3</v>
      </c>
      <c r="O5" s="35">
        <v>2</v>
      </c>
      <c r="P5" s="3"/>
      <c r="Q5" s="3"/>
    </row>
    <row r="6" spans="1:17" ht="30" customHeight="1">
      <c r="A6" s="313"/>
      <c r="B6" s="314" t="s">
        <v>8</v>
      </c>
      <c r="C6" s="99">
        <v>0.5</v>
      </c>
      <c r="D6" s="101">
        <v>5</v>
      </c>
      <c r="E6" s="101">
        <v>2</v>
      </c>
      <c r="F6" s="408" t="s">
        <v>195</v>
      </c>
      <c r="G6" s="409"/>
      <c r="H6" s="409"/>
      <c r="I6" s="410"/>
      <c r="L6" s="39"/>
      <c r="M6" s="35"/>
      <c r="N6" s="35">
        <v>3.5</v>
      </c>
      <c r="O6" s="35">
        <v>2.5</v>
      </c>
      <c r="P6" s="3"/>
      <c r="Q6" s="3"/>
    </row>
    <row r="7" spans="1:17" ht="30" customHeight="1" thickBot="1">
      <c r="A7" s="311"/>
      <c r="B7" s="314" t="s">
        <v>3</v>
      </c>
      <c r="C7" s="102">
        <v>0.5</v>
      </c>
      <c r="D7" s="103">
        <v>5</v>
      </c>
      <c r="E7" s="103">
        <v>1.5</v>
      </c>
      <c r="F7" s="411" t="s">
        <v>196</v>
      </c>
      <c r="G7" s="412"/>
      <c r="H7" s="412"/>
      <c r="I7" s="413"/>
      <c r="L7" s="39"/>
      <c r="M7" s="35"/>
      <c r="N7" s="35">
        <v>4</v>
      </c>
      <c r="O7" s="35">
        <v>3</v>
      </c>
      <c r="P7" s="3"/>
      <c r="Q7" s="3"/>
    </row>
    <row r="8" spans="1:17" ht="30" customHeight="1" thickBot="1">
      <c r="A8" s="311"/>
      <c r="B8" s="315" t="s">
        <v>35</v>
      </c>
      <c r="C8" s="316"/>
      <c r="D8" s="317"/>
      <c r="E8" s="318">
        <f>AVERAGE(E4:E7)</f>
        <v>3.125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47.25" customHeight="1">
      <c r="A12" s="313"/>
      <c r="B12" s="446" t="str">
        <f>'Marginal Zone'!B12:B18</f>
        <v>WOODY</v>
      </c>
      <c r="C12" s="329" t="s">
        <v>1</v>
      </c>
      <c r="D12" s="271" t="s">
        <v>126</v>
      </c>
      <c r="E12" s="270">
        <v>3</v>
      </c>
      <c r="F12" s="41">
        <v>4</v>
      </c>
      <c r="G12" s="431" t="s">
        <v>206</v>
      </c>
      <c r="H12" s="432"/>
      <c r="I12" s="433"/>
      <c r="J12" s="34">
        <f t="shared" ref="J12:J17" si="0">IF(D12="Y",E12,IF(D12="N",""))</f>
        <v>3</v>
      </c>
      <c r="K12" s="34">
        <f t="shared" ref="K12:K17" si="1">IF(D12="Y",F12,IF(D12="N",""))</f>
        <v>4</v>
      </c>
      <c r="L12" s="39"/>
      <c r="M12" s="33"/>
      <c r="N12" s="33"/>
      <c r="O12" s="33"/>
    </row>
    <row r="13" spans="1:17" ht="30" customHeight="1">
      <c r="A13" s="313"/>
      <c r="B13" s="447"/>
      <c r="C13" s="330" t="s">
        <v>0</v>
      </c>
      <c r="D13" s="42" t="s">
        <v>126</v>
      </c>
      <c r="E13" s="363">
        <v>3</v>
      </c>
      <c r="F13" s="43">
        <v>4</v>
      </c>
      <c r="G13" s="426" t="s">
        <v>198</v>
      </c>
      <c r="H13" s="427"/>
      <c r="I13" s="428"/>
      <c r="J13" s="34">
        <f t="shared" si="0"/>
        <v>3</v>
      </c>
      <c r="K13" s="34">
        <f t="shared" si="1"/>
        <v>4</v>
      </c>
      <c r="L13" s="39"/>
      <c r="M13" s="36"/>
      <c r="N13" s="36"/>
      <c r="O13" s="36"/>
      <c r="P13" s="3"/>
      <c r="Q13" s="3"/>
    </row>
    <row r="14" spans="1:17" ht="33.75"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1.25" customHeight="1">
      <c r="A15" s="313"/>
      <c r="B15" s="447"/>
      <c r="C15" s="330" t="s">
        <v>37</v>
      </c>
      <c r="D15" s="42" t="s">
        <v>126</v>
      </c>
      <c r="E15" s="112">
        <v>4</v>
      </c>
      <c r="F15" s="43">
        <v>4</v>
      </c>
      <c r="G15" s="426" t="s">
        <v>199</v>
      </c>
      <c r="H15" s="427"/>
      <c r="I15" s="428"/>
      <c r="J15" s="34">
        <f t="shared" si="0"/>
        <v>4</v>
      </c>
      <c r="K15" s="34">
        <f t="shared" si="1"/>
        <v>4</v>
      </c>
      <c r="L15" s="39"/>
      <c r="M15" s="36"/>
      <c r="N15" s="36"/>
      <c r="O15" s="36"/>
      <c r="P15" s="3"/>
      <c r="Q15" s="3"/>
    </row>
    <row r="16" spans="1:17" ht="68.25" customHeight="1">
      <c r="A16" s="313"/>
      <c r="B16" s="447"/>
      <c r="C16" s="330" t="s">
        <v>36</v>
      </c>
      <c r="D16" s="42" t="s">
        <v>126</v>
      </c>
      <c r="E16" s="268">
        <v>4</v>
      </c>
      <c r="F16" s="43">
        <v>4</v>
      </c>
      <c r="G16" s="426" t="s">
        <v>200</v>
      </c>
      <c r="H16" s="427"/>
      <c r="I16" s="428"/>
      <c r="J16" s="34">
        <f t="shared" si="0"/>
        <v>4</v>
      </c>
      <c r="K16" s="34">
        <f t="shared" si="1"/>
        <v>4</v>
      </c>
      <c r="L16" s="39"/>
      <c r="M16" s="36"/>
      <c r="N16" s="36"/>
      <c r="O16" s="36"/>
      <c r="P16" s="3"/>
      <c r="Q16" s="3"/>
    </row>
    <row r="17" spans="1:17" ht="86.25" customHeight="1" thickBot="1">
      <c r="A17" s="313"/>
      <c r="B17" s="447"/>
      <c r="C17" s="331" t="s">
        <v>34</v>
      </c>
      <c r="D17" s="44" t="s">
        <v>126</v>
      </c>
      <c r="E17" s="269">
        <v>4</v>
      </c>
      <c r="F17" s="45">
        <v>4</v>
      </c>
      <c r="G17" s="443" t="s">
        <v>207</v>
      </c>
      <c r="H17" s="444"/>
      <c r="I17" s="445"/>
      <c r="J17" s="34">
        <f t="shared" si="0"/>
        <v>4</v>
      </c>
      <c r="K17" s="34">
        <f t="shared" si="1"/>
        <v>4</v>
      </c>
      <c r="L17" s="39"/>
      <c r="O17" s="37"/>
      <c r="P17" s="8"/>
    </row>
    <row r="18" spans="1:17" ht="30" customHeight="1" thickBot="1">
      <c r="A18" s="313"/>
      <c r="B18" s="448"/>
      <c r="C18" s="332"/>
      <c r="D18" s="333"/>
      <c r="E18" s="334">
        <f>IF(J18&gt;0,SUM(J12:J17)/J18,"")</f>
        <v>3.6</v>
      </c>
      <c r="F18" s="335">
        <f>IF(K18&gt;0,SUM(K12:K17)/K18,"")</f>
        <v>4</v>
      </c>
      <c r="G18" s="319"/>
      <c r="H18" s="319"/>
      <c r="I18" s="320"/>
      <c r="J18" s="37">
        <f>COUNT(J12:J17)</f>
        <v>5</v>
      </c>
      <c r="K18" s="37">
        <f>COUNT(K12:K17)</f>
        <v>5</v>
      </c>
      <c r="L18" s="39"/>
      <c r="O18" s="37"/>
      <c r="P18" s="8"/>
    </row>
    <row r="19" spans="1:17" ht="81" customHeight="1">
      <c r="A19" s="313"/>
      <c r="B19" s="449" t="str">
        <f>'Marginal Zone'!B19:B21</f>
        <v>SPECIAL CATEGORY (eg Reeds, Palmiet)</v>
      </c>
      <c r="C19" s="329" t="s">
        <v>1</v>
      </c>
      <c r="D19" s="271" t="s">
        <v>188</v>
      </c>
      <c r="E19" s="270"/>
      <c r="F19" s="41"/>
      <c r="G19" s="420" t="s">
        <v>202</v>
      </c>
      <c r="H19" s="421"/>
      <c r="I19" s="422"/>
      <c r="J19" s="34" t="str">
        <f>IF(D19="Y",E19,IF(D19="N",""))</f>
        <v/>
      </c>
      <c r="K19" s="34" t="str">
        <f>IF(D19="Y",F19,IF(D19="N",""))</f>
        <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9" t="str">
        <f>'Marginal Zone'!B22:B25</f>
        <v>NON-WOODY (Excl Reeds)</v>
      </c>
      <c r="C22" s="329" t="s">
        <v>1</v>
      </c>
      <c r="D22" s="40" t="s">
        <v>126</v>
      </c>
      <c r="E22" s="270">
        <v>4.5</v>
      </c>
      <c r="F22" s="41">
        <v>4</v>
      </c>
      <c r="G22" s="434" t="s">
        <v>203</v>
      </c>
      <c r="H22" s="435"/>
      <c r="I22" s="436"/>
      <c r="J22" s="34">
        <f>IF(D22="Y",E22,IF(D22="N",""))</f>
        <v>4.5</v>
      </c>
      <c r="K22" s="34">
        <f>IF(D22="Y",F22,IF(D22="N",""))</f>
        <v>4</v>
      </c>
      <c r="L22" s="39"/>
      <c r="O22" s="37"/>
      <c r="P22" s="8"/>
    </row>
    <row r="23" spans="1:17" ht="30" customHeight="1">
      <c r="A23" s="313"/>
      <c r="B23" s="450"/>
      <c r="C23" s="330" t="s">
        <v>0</v>
      </c>
      <c r="D23" s="42" t="s">
        <v>126</v>
      </c>
      <c r="E23" s="363">
        <v>4</v>
      </c>
      <c r="F23" s="43">
        <v>4</v>
      </c>
      <c r="G23" s="437" t="s">
        <v>204</v>
      </c>
      <c r="H23" s="438"/>
      <c r="I23" s="439"/>
      <c r="J23" s="34">
        <f>IF(D23="Y",E23,IF(D23="N",""))</f>
        <v>4</v>
      </c>
      <c r="K23" s="34">
        <f>IF(D23="Y",F23,IF(D23="N",""))</f>
        <v>4</v>
      </c>
      <c r="L23" s="39"/>
      <c r="O23" s="37"/>
      <c r="P23" s="8"/>
    </row>
    <row r="24" spans="1:17" ht="66" customHeight="1" thickBot="1">
      <c r="A24" s="313"/>
      <c r="B24" s="450"/>
      <c r="C24" s="331" t="s">
        <v>34</v>
      </c>
      <c r="D24" s="44" t="s">
        <v>126</v>
      </c>
      <c r="E24" s="269">
        <v>4.5</v>
      </c>
      <c r="F24" s="45">
        <v>4</v>
      </c>
      <c r="G24" s="440" t="s">
        <v>205</v>
      </c>
      <c r="H24" s="441"/>
      <c r="I24" s="442"/>
      <c r="J24" s="34">
        <f>IF(D24="Y",E24,IF(D24="N",""))</f>
        <v>4.5</v>
      </c>
      <c r="K24" s="34">
        <f>IF(D24="Y",F24,IF(D24="N",""))</f>
        <v>4</v>
      </c>
      <c r="L24" s="39"/>
      <c r="O24" s="37"/>
      <c r="P24" s="8"/>
    </row>
    <row r="25" spans="1:17" ht="30" customHeight="1" thickBot="1">
      <c r="A25" s="313"/>
      <c r="B25" s="451"/>
      <c r="C25" s="339"/>
      <c r="D25" s="333"/>
      <c r="E25" s="334">
        <f>IF(J25&gt;0,SUM(J22:J24)/J25,"")</f>
        <v>4.333333333333333</v>
      </c>
      <c r="F25" s="335">
        <f>IF(K25&gt;0,SUM(K22:K24)/K25,"")</f>
        <v>4</v>
      </c>
      <c r="G25" s="319"/>
      <c r="H25" s="319"/>
      <c r="I25" s="320"/>
      <c r="J25" s="37">
        <f>COUNT(J22:J24)</f>
        <v>3</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1</v>
      </c>
      <c r="E28" s="41">
        <v>80</v>
      </c>
      <c r="F28" s="52">
        <f>IF(E18="","",E18)</f>
        <v>3.6</v>
      </c>
      <c r="G28" s="346">
        <f>IF(C28="N","",IF(C28="Y",F28*(E28/100)))</f>
        <v>2.8800000000000003</v>
      </c>
      <c r="H28" s="53">
        <f>IF(C28="y",F18,"")</f>
        <v>4</v>
      </c>
      <c r="I28" s="295"/>
      <c r="K28" s="347">
        <f>IF(C28="y",(E28*5)/100,0)</f>
        <v>4</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4.333333333333333</v>
      </c>
      <c r="G30" s="351">
        <f>IF(C30="N","",IF(C30="Y",F30*(E30/100)))</f>
        <v>4.333333333333333</v>
      </c>
      <c r="H30" s="53">
        <f>IF(C30="y",F25,"")</f>
        <v>4</v>
      </c>
      <c r="I30" s="46"/>
      <c r="K30" s="347">
        <f>IF(C30="y",(E30*5)/100,0)</f>
        <v>5</v>
      </c>
      <c r="L30" s="38"/>
      <c r="M30" s="38"/>
      <c r="P30" s="3"/>
      <c r="Q30" s="3"/>
    </row>
    <row r="31" spans="1:17" ht="30" customHeight="1" thickBot="1">
      <c r="B31" s="316"/>
      <c r="C31" s="317"/>
      <c r="D31" s="317"/>
      <c r="E31" s="317"/>
      <c r="F31" s="317"/>
      <c r="G31" s="352">
        <f>SUM(G28:G30)</f>
        <v>7.2133333333333329</v>
      </c>
      <c r="H31" s="353">
        <f>AVERAGE(H28:H30)</f>
        <v>4</v>
      </c>
      <c r="I31" s="354"/>
      <c r="K31" s="34">
        <f>SUM(K28:K30)</f>
        <v>9</v>
      </c>
    </row>
    <row r="32" spans="1:17" ht="39" customHeight="1" thickBot="1">
      <c r="A32" s="355"/>
      <c r="B32" s="429" t="s">
        <v>139</v>
      </c>
      <c r="C32" s="430"/>
      <c r="D32" s="430"/>
      <c r="E32" s="356">
        <f>(G31/K31)*100</f>
        <v>80.148148148148152</v>
      </c>
      <c r="F32" s="36" t="str">
        <f>'RIPARIAN ZONE EC'!E20</f>
        <v>E/F</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topLeftCell="A19" zoomScale="80" zoomScaleNormal="80" workbookViewId="0">
      <selection activeCell="E18" sqref="E18"/>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67.5" customHeight="1">
      <c r="A4" s="311"/>
      <c r="B4" s="312" t="s">
        <v>4</v>
      </c>
      <c r="C4" s="97">
        <v>4.5</v>
      </c>
      <c r="D4" s="98">
        <v>5</v>
      </c>
      <c r="E4" s="98">
        <v>5</v>
      </c>
      <c r="F4" s="452" t="s">
        <v>208</v>
      </c>
      <c r="G4" s="453"/>
      <c r="H4" s="453"/>
      <c r="I4" s="454"/>
      <c r="L4" s="39"/>
      <c r="M4" s="35"/>
      <c r="N4" s="35">
        <v>2.5</v>
      </c>
      <c r="O4" s="35">
        <v>1.5</v>
      </c>
      <c r="P4" s="3"/>
      <c r="Q4" s="3"/>
    </row>
    <row r="5" spans="1:17" ht="30" customHeight="1">
      <c r="A5" s="313"/>
      <c r="B5" s="314" t="s">
        <v>2</v>
      </c>
      <c r="C5" s="267">
        <f>VLOOKUP(ABS('Ref State Cover'!G6-'Ref State Cover'!G13),'Rating Guide'!$F$34:$G$44,2)</f>
        <v>3.5</v>
      </c>
      <c r="D5" s="100" t="s">
        <v>73</v>
      </c>
      <c r="E5" s="101">
        <v>5</v>
      </c>
      <c r="F5" s="408" t="s">
        <v>209</v>
      </c>
      <c r="G5" s="409"/>
      <c r="H5" s="409"/>
      <c r="I5" s="410"/>
      <c r="L5" s="39"/>
      <c r="M5" s="35"/>
      <c r="N5" s="35">
        <v>3</v>
      </c>
      <c r="O5" s="35">
        <v>2</v>
      </c>
      <c r="P5" s="3"/>
      <c r="Q5" s="3"/>
    </row>
    <row r="6" spans="1:17" ht="30" customHeight="1">
      <c r="A6" s="313"/>
      <c r="B6" s="314" t="s">
        <v>8</v>
      </c>
      <c r="C6" s="99">
        <v>0</v>
      </c>
      <c r="D6" s="101">
        <v>0</v>
      </c>
      <c r="E6" s="101">
        <v>4</v>
      </c>
      <c r="F6" s="408" t="s">
        <v>210</v>
      </c>
      <c r="G6" s="409"/>
      <c r="H6" s="409"/>
      <c r="I6" s="410"/>
      <c r="L6" s="39"/>
      <c r="M6" s="35"/>
      <c r="N6" s="35">
        <v>3.5</v>
      </c>
      <c r="O6" s="35">
        <v>2.5</v>
      </c>
      <c r="P6" s="3"/>
      <c r="Q6" s="3"/>
    </row>
    <row r="7" spans="1:17" ht="30" customHeight="1" thickBot="1">
      <c r="A7" s="311"/>
      <c r="B7" s="314" t="s">
        <v>3</v>
      </c>
      <c r="C7" s="102">
        <v>0</v>
      </c>
      <c r="D7" s="103">
        <v>0</v>
      </c>
      <c r="E7" s="103">
        <v>4</v>
      </c>
      <c r="F7" s="411" t="s">
        <v>210</v>
      </c>
      <c r="G7" s="412"/>
      <c r="H7" s="412"/>
      <c r="I7" s="413"/>
      <c r="L7" s="39"/>
      <c r="M7" s="35"/>
      <c r="N7" s="35">
        <v>4</v>
      </c>
      <c r="O7" s="35">
        <v>3</v>
      </c>
      <c r="P7" s="3"/>
      <c r="Q7" s="3"/>
    </row>
    <row r="8" spans="1:17" ht="30" customHeight="1" thickBot="1">
      <c r="A8" s="311"/>
      <c r="B8" s="315" t="s">
        <v>35</v>
      </c>
      <c r="C8" s="316"/>
      <c r="D8" s="317"/>
      <c r="E8" s="318">
        <f>AVERAGE(E4:E7)</f>
        <v>4.5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57" customHeight="1">
      <c r="A12" s="313"/>
      <c r="B12" s="446" t="str">
        <f>'Marginal Zone'!B12:B18</f>
        <v>WOODY</v>
      </c>
      <c r="C12" s="329" t="s">
        <v>1</v>
      </c>
      <c r="D12" s="271" t="s">
        <v>126</v>
      </c>
      <c r="E12" s="362">
        <v>3</v>
      </c>
      <c r="F12" s="41">
        <v>4</v>
      </c>
      <c r="G12" s="431" t="s">
        <v>211</v>
      </c>
      <c r="H12" s="432"/>
      <c r="I12" s="433"/>
      <c r="J12" s="34">
        <f t="shared" ref="J12:J17" si="0">IF(D12="Y",E12,IF(D12="N",""))</f>
        <v>3</v>
      </c>
      <c r="K12" s="34">
        <f t="shared" ref="K12:K17" si="1">IF(D12="Y",F12,IF(D12="N",""))</f>
        <v>4</v>
      </c>
      <c r="L12" s="39"/>
      <c r="M12" s="33"/>
      <c r="N12" s="33"/>
      <c r="O12" s="33"/>
    </row>
    <row r="13" spans="1:17" ht="30" customHeight="1">
      <c r="A13" s="313"/>
      <c r="B13" s="447"/>
      <c r="C13" s="330" t="s">
        <v>0</v>
      </c>
      <c r="D13" s="42" t="s">
        <v>126</v>
      </c>
      <c r="E13" s="363">
        <v>2.5</v>
      </c>
      <c r="F13" s="43">
        <v>4</v>
      </c>
      <c r="G13" s="426" t="s">
        <v>204</v>
      </c>
      <c r="H13" s="427"/>
      <c r="I13" s="428"/>
      <c r="J13" s="34">
        <f t="shared" si="0"/>
        <v>2.5</v>
      </c>
      <c r="K13" s="34">
        <f t="shared" si="1"/>
        <v>4</v>
      </c>
      <c r="L13" s="39"/>
      <c r="M13" s="36"/>
      <c r="N13" s="36"/>
      <c r="O13" s="36"/>
      <c r="P13" s="3"/>
      <c r="Q13" s="3"/>
    </row>
    <row r="14" spans="1:17" ht="63"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3</v>
      </c>
      <c r="F15" s="43">
        <v>4</v>
      </c>
      <c r="G15" s="426" t="s">
        <v>212</v>
      </c>
      <c r="H15" s="427"/>
      <c r="I15" s="428"/>
      <c r="J15" s="34">
        <f t="shared" si="0"/>
        <v>3</v>
      </c>
      <c r="K15" s="34">
        <f t="shared" si="1"/>
        <v>4</v>
      </c>
      <c r="L15" s="39"/>
      <c r="M15" s="36"/>
      <c r="N15" s="36"/>
      <c r="O15" s="36"/>
      <c r="P15" s="3"/>
      <c r="Q15" s="3"/>
    </row>
    <row r="16" spans="1:17" ht="30" customHeight="1">
      <c r="A16" s="313"/>
      <c r="B16" s="447"/>
      <c r="C16" s="330" t="s">
        <v>36</v>
      </c>
      <c r="D16" s="42" t="s">
        <v>126</v>
      </c>
      <c r="E16" s="268">
        <v>4</v>
      </c>
      <c r="F16" s="43">
        <v>3</v>
      </c>
      <c r="G16" s="426" t="s">
        <v>213</v>
      </c>
      <c r="H16" s="427"/>
      <c r="I16" s="428"/>
      <c r="J16" s="34">
        <f t="shared" si="0"/>
        <v>4</v>
      </c>
      <c r="K16" s="34">
        <f t="shared" si="1"/>
        <v>3</v>
      </c>
      <c r="L16" s="39"/>
      <c r="M16" s="36"/>
      <c r="N16" s="36"/>
      <c r="O16" s="36"/>
      <c r="P16" s="3"/>
      <c r="Q16" s="3"/>
    </row>
    <row r="17" spans="1:17" ht="65.25" customHeight="1" thickBot="1">
      <c r="A17" s="313"/>
      <c r="B17" s="447"/>
      <c r="C17" s="331" t="s">
        <v>34</v>
      </c>
      <c r="D17" s="44" t="s">
        <v>126</v>
      </c>
      <c r="E17" s="269">
        <v>3.5</v>
      </c>
      <c r="F17" s="45">
        <v>3</v>
      </c>
      <c r="G17" s="443" t="s">
        <v>214</v>
      </c>
      <c r="H17" s="444"/>
      <c r="I17" s="445"/>
      <c r="J17" s="34">
        <f t="shared" si="0"/>
        <v>3.5</v>
      </c>
      <c r="K17" s="34">
        <f t="shared" si="1"/>
        <v>3</v>
      </c>
      <c r="L17" s="39"/>
      <c r="O17" s="37"/>
      <c r="P17" s="8"/>
    </row>
    <row r="18" spans="1:17" ht="30" customHeight="1" thickBot="1">
      <c r="A18" s="313"/>
      <c r="B18" s="448"/>
      <c r="C18" s="332"/>
      <c r="D18" s="333"/>
      <c r="E18" s="334">
        <f>IF(J18&gt;0,SUM(J12:J17)/J18,"")</f>
        <v>3.2</v>
      </c>
      <c r="F18" s="335">
        <f>IF(K18&gt;0,SUM(K12:K17)/K18,"")</f>
        <v>3.6</v>
      </c>
      <c r="G18" s="319"/>
      <c r="H18" s="319"/>
      <c r="I18" s="320"/>
      <c r="J18" s="37">
        <f>COUNT(J12:J17)</f>
        <v>5</v>
      </c>
      <c r="K18" s="37">
        <f>COUNT(K12:K17)</f>
        <v>5</v>
      </c>
      <c r="L18" s="39"/>
      <c r="O18" s="37"/>
      <c r="P18" s="8"/>
    </row>
    <row r="19" spans="1:17" ht="64.5" customHeight="1">
      <c r="A19" s="313"/>
      <c r="B19" s="449" t="str">
        <f>'Marginal Zone'!B19:B21</f>
        <v>SPECIAL CATEGORY (eg Reeds, Palmiet)</v>
      </c>
      <c r="C19" s="329" t="s">
        <v>1</v>
      </c>
      <c r="D19" s="271" t="s">
        <v>188</v>
      </c>
      <c r="E19" s="270"/>
      <c r="F19" s="41"/>
      <c r="G19" s="420" t="s">
        <v>202</v>
      </c>
      <c r="H19" s="421"/>
      <c r="I19" s="422"/>
      <c r="J19" s="34" t="str">
        <f>IF(D19="Y",E19,IF(D19="N",""))</f>
        <v/>
      </c>
      <c r="K19" s="34" t="str">
        <f>IF(D19="Y",F19,IF(D19="N",""))</f>
        <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9" t="str">
        <f>'Marginal Zone'!B22:B25</f>
        <v>NON-WOODY (Excl Reeds)</v>
      </c>
      <c r="C22" s="329" t="s">
        <v>1</v>
      </c>
      <c r="D22" s="40" t="s">
        <v>126</v>
      </c>
      <c r="E22" s="270">
        <f>VLOOKUP(ABS('Ref State Cover'!M21-'Ref State Cover'!M28),'Rating Guide'!$F$34:$G$44,2)</f>
        <v>3</v>
      </c>
      <c r="F22" s="41">
        <v>4</v>
      </c>
      <c r="G22" s="420" t="s">
        <v>215</v>
      </c>
      <c r="H22" s="421"/>
      <c r="I22" s="422"/>
      <c r="J22" s="34">
        <f>IF(D22="Y",E22,IF(D22="N",""))</f>
        <v>3</v>
      </c>
      <c r="K22" s="34">
        <f>IF(D22="Y",F22,IF(D22="N",""))</f>
        <v>4</v>
      </c>
      <c r="L22" s="39"/>
      <c r="O22" s="37"/>
      <c r="P22" s="8"/>
    </row>
    <row r="23" spans="1:17" ht="30" customHeight="1">
      <c r="A23" s="313"/>
      <c r="B23" s="450"/>
      <c r="C23" s="330" t="s">
        <v>0</v>
      </c>
      <c r="D23" s="42" t="s">
        <v>188</v>
      </c>
      <c r="E23" s="363" t="str">
        <f>IF(D23="y",E22,"")</f>
        <v/>
      </c>
      <c r="F23" s="43"/>
      <c r="G23" s="437"/>
      <c r="H23" s="438"/>
      <c r="I23" s="439"/>
      <c r="J23" s="34" t="str">
        <f>IF(D23="Y",E23,IF(D23="N",""))</f>
        <v/>
      </c>
      <c r="K23" s="34" t="str">
        <f>IF(D23="Y",F23,IF(D23="N",""))</f>
        <v/>
      </c>
      <c r="L23" s="39"/>
      <c r="O23" s="37"/>
      <c r="P23" s="8"/>
    </row>
    <row r="24" spans="1:17" ht="87.75" customHeight="1" thickBot="1">
      <c r="A24" s="313"/>
      <c r="B24" s="450"/>
      <c r="C24" s="331" t="s">
        <v>34</v>
      </c>
      <c r="D24" s="44" t="s">
        <v>126</v>
      </c>
      <c r="E24" s="269">
        <v>3</v>
      </c>
      <c r="F24" s="45">
        <v>3</v>
      </c>
      <c r="G24" s="440" t="s">
        <v>204</v>
      </c>
      <c r="H24" s="441"/>
      <c r="I24" s="442"/>
      <c r="J24" s="34">
        <f>IF(D24="Y",E24,IF(D24="N",""))</f>
        <v>3</v>
      </c>
      <c r="K24" s="34">
        <f>IF(D24="Y",F24,IF(D24="N",""))</f>
        <v>3</v>
      </c>
      <c r="L24" s="39"/>
      <c r="O24" s="37"/>
      <c r="P24" s="8"/>
    </row>
    <row r="25" spans="1:17" ht="30" customHeight="1" thickBot="1">
      <c r="A25" s="313"/>
      <c r="B25" s="451"/>
      <c r="C25" s="339"/>
      <c r="D25" s="333"/>
      <c r="E25" s="334">
        <f>IF(J25&gt;0,SUM(J22:J24)/J25,"")</f>
        <v>3</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80</v>
      </c>
      <c r="F28" s="52">
        <f>IF(E18="","",E18)</f>
        <v>3.2</v>
      </c>
      <c r="G28" s="346">
        <f>IF(C28="N","",IF(C28="Y",F28*(E28/100)))</f>
        <v>2.5600000000000005</v>
      </c>
      <c r="H28" s="53">
        <f>IF(C28="y",F18,"")</f>
        <v>3.6</v>
      </c>
      <c r="I28" s="295"/>
      <c r="K28" s="347">
        <f>IF(C28="y",(E28*5)/100,0)</f>
        <v>4</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3</v>
      </c>
      <c r="G30" s="351">
        <f>IF(C30="N","",IF(C30="Y",F30*(E30/100)))</f>
        <v>3</v>
      </c>
      <c r="H30" s="53">
        <f>IF(C30="y",F25,"")</f>
        <v>3.5</v>
      </c>
      <c r="I30" s="46"/>
      <c r="K30" s="347">
        <f>IF(C30="y",(E30*5)/100,0)</f>
        <v>5</v>
      </c>
      <c r="L30" s="38"/>
      <c r="M30" s="38"/>
      <c r="P30" s="3"/>
      <c r="Q30" s="3"/>
    </row>
    <row r="31" spans="1:17" ht="30" customHeight="1" thickBot="1">
      <c r="B31" s="316"/>
      <c r="C31" s="317"/>
      <c r="D31" s="317"/>
      <c r="E31" s="317"/>
      <c r="F31" s="317"/>
      <c r="G31" s="352">
        <f>SUM(G28:G30)</f>
        <v>5.5600000000000005</v>
      </c>
      <c r="H31" s="353">
        <f>AVERAGE(H28:H30)</f>
        <v>3.55</v>
      </c>
      <c r="I31" s="354"/>
      <c r="K31" s="34">
        <f>SUM(K28:K30)</f>
        <v>9</v>
      </c>
    </row>
    <row r="32" spans="1:17" ht="39" customHeight="1" thickBot="1">
      <c r="A32" s="355"/>
      <c r="B32" s="429" t="s">
        <v>139</v>
      </c>
      <c r="C32" s="430"/>
      <c r="D32" s="430"/>
      <c r="E32" s="356">
        <f>(G31/K31)*100</f>
        <v>61.777777777777786</v>
      </c>
      <c r="F32" s="36" t="str">
        <f>'RIPARIAN ZONE EC'!F20</f>
        <v>D/E</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 ref="E16" location="marginal_pop_struc_and_recruitm" display="marginal_pop_struc_and_recruitm"/>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2" zoomScale="80" zoomScaleNormal="80" workbookViewId="0">
      <selection activeCell="F16" sqref="F16"/>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67.5" customHeight="1">
      <c r="A4" s="311"/>
      <c r="B4" s="312" t="s">
        <v>4</v>
      </c>
      <c r="C4" s="97">
        <v>4.5</v>
      </c>
      <c r="D4" s="98">
        <v>5</v>
      </c>
      <c r="E4" s="98">
        <v>5</v>
      </c>
      <c r="F4" s="452" t="s">
        <v>208</v>
      </c>
      <c r="G4" s="453"/>
      <c r="H4" s="453"/>
      <c r="I4" s="454"/>
      <c r="L4" s="39"/>
      <c r="M4" s="35"/>
      <c r="N4" s="35">
        <v>2.5</v>
      </c>
      <c r="O4" s="35">
        <v>1.5</v>
      </c>
      <c r="P4" s="3"/>
      <c r="Q4" s="3"/>
    </row>
    <row r="5" spans="1:17" ht="30" customHeight="1">
      <c r="A5" s="313"/>
      <c r="B5" s="314" t="s">
        <v>2</v>
      </c>
      <c r="C5" s="267">
        <f>VLOOKUP(ABS('Ref State Cover'!G7-'Ref State Cover'!G14),'Rating Guide'!$F$34:$G$44,2)</f>
        <v>3.5</v>
      </c>
      <c r="D5" s="100" t="s">
        <v>73</v>
      </c>
      <c r="E5" s="101">
        <v>5</v>
      </c>
      <c r="F5" s="408" t="s">
        <v>209</v>
      </c>
      <c r="G5" s="409"/>
      <c r="H5" s="409"/>
      <c r="I5" s="410"/>
      <c r="L5" s="39"/>
      <c r="M5" s="35"/>
      <c r="N5" s="35">
        <v>3</v>
      </c>
      <c r="O5" s="35">
        <v>2</v>
      </c>
      <c r="P5" s="3"/>
      <c r="Q5" s="3"/>
    </row>
    <row r="6" spans="1:17" ht="30" customHeight="1">
      <c r="A6" s="313"/>
      <c r="B6" s="314" t="s">
        <v>8</v>
      </c>
      <c r="C6" s="99">
        <v>0</v>
      </c>
      <c r="D6" s="101">
        <v>0</v>
      </c>
      <c r="E6" s="101">
        <v>4</v>
      </c>
      <c r="F6" s="408" t="s">
        <v>210</v>
      </c>
      <c r="G6" s="409"/>
      <c r="H6" s="409"/>
      <c r="I6" s="410"/>
      <c r="L6" s="39"/>
      <c r="M6" s="35"/>
      <c r="N6" s="35">
        <v>3.5</v>
      </c>
      <c r="O6" s="35">
        <v>2.5</v>
      </c>
      <c r="P6" s="3"/>
      <c r="Q6" s="3"/>
    </row>
    <row r="7" spans="1:17" ht="30" customHeight="1" thickBot="1">
      <c r="A7" s="311"/>
      <c r="B7" s="314" t="s">
        <v>3</v>
      </c>
      <c r="C7" s="102">
        <v>0</v>
      </c>
      <c r="D7" s="103">
        <v>0</v>
      </c>
      <c r="E7" s="103">
        <v>4</v>
      </c>
      <c r="F7" s="411" t="s">
        <v>210</v>
      </c>
      <c r="G7" s="412"/>
      <c r="H7" s="412"/>
      <c r="I7" s="413"/>
      <c r="L7" s="39"/>
      <c r="M7" s="35"/>
      <c r="N7" s="35">
        <v>4</v>
      </c>
      <c r="O7" s="35">
        <v>3</v>
      </c>
      <c r="P7" s="3"/>
      <c r="Q7" s="3"/>
    </row>
    <row r="8" spans="1:17" ht="30" customHeight="1" thickBot="1">
      <c r="A8" s="311"/>
      <c r="B8" s="315" t="s">
        <v>35</v>
      </c>
      <c r="C8" s="316"/>
      <c r="D8" s="317"/>
      <c r="E8" s="318">
        <f>AVERAGE(E4:E7)</f>
        <v>4.5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75.75" customHeight="1">
      <c r="A12" s="313"/>
      <c r="B12" s="446" t="str">
        <f>'Marginal Zone'!B12:B18</f>
        <v>WOODY</v>
      </c>
      <c r="C12" s="329" t="s">
        <v>1</v>
      </c>
      <c r="D12" s="271" t="s">
        <v>126</v>
      </c>
      <c r="E12" s="367">
        <v>3</v>
      </c>
      <c r="F12" s="41">
        <v>4</v>
      </c>
      <c r="G12" s="431" t="s">
        <v>211</v>
      </c>
      <c r="H12" s="432"/>
      <c r="I12" s="433"/>
      <c r="J12" s="34">
        <f t="shared" ref="J12:J17" si="0">IF(D12="Y",E12,IF(D12="N",""))</f>
        <v>3</v>
      </c>
      <c r="K12" s="34">
        <f t="shared" ref="K12:K17" si="1">IF(D12="Y",F12,IF(D12="N",""))</f>
        <v>4</v>
      </c>
      <c r="L12" s="39"/>
      <c r="M12" s="33"/>
      <c r="N12" s="33"/>
      <c r="O12" s="33"/>
    </row>
    <row r="13" spans="1:17" ht="30" customHeight="1">
      <c r="A13" s="313"/>
      <c r="B13" s="447"/>
      <c r="C13" s="330" t="s">
        <v>0</v>
      </c>
      <c r="D13" s="42" t="s">
        <v>126</v>
      </c>
      <c r="E13" s="368">
        <v>2</v>
      </c>
      <c r="F13" s="43">
        <v>4</v>
      </c>
      <c r="G13" s="426" t="s">
        <v>204</v>
      </c>
      <c r="H13" s="427"/>
      <c r="I13" s="428"/>
      <c r="J13" s="34">
        <f t="shared" si="0"/>
        <v>2</v>
      </c>
      <c r="K13" s="34">
        <f t="shared" si="1"/>
        <v>4</v>
      </c>
      <c r="L13" s="39"/>
      <c r="M13" s="36"/>
      <c r="N13" s="36"/>
      <c r="O13" s="36"/>
      <c r="P13" s="3"/>
      <c r="Q13" s="3"/>
    </row>
    <row r="14" spans="1:17" ht="54.75" customHeight="1">
      <c r="A14" s="313"/>
      <c r="B14" s="447"/>
      <c r="C14" s="330" t="s">
        <v>38</v>
      </c>
      <c r="D14" s="42" t="s">
        <v>188</v>
      </c>
      <c r="E14" s="369"/>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3</v>
      </c>
      <c r="F15" s="43">
        <v>4</v>
      </c>
      <c r="G15" s="426" t="s">
        <v>212</v>
      </c>
      <c r="H15" s="427"/>
      <c r="I15" s="428"/>
      <c r="J15" s="34">
        <f t="shared" si="0"/>
        <v>3</v>
      </c>
      <c r="K15" s="34">
        <f t="shared" si="1"/>
        <v>4</v>
      </c>
      <c r="L15" s="39"/>
      <c r="M15" s="36"/>
      <c r="N15" s="36"/>
      <c r="O15" s="36"/>
      <c r="P15" s="3"/>
      <c r="Q15" s="3"/>
    </row>
    <row r="16" spans="1:17" ht="30" customHeight="1">
      <c r="A16" s="313"/>
      <c r="B16" s="447"/>
      <c r="C16" s="330" t="s">
        <v>36</v>
      </c>
      <c r="D16" s="42" t="s">
        <v>126</v>
      </c>
      <c r="E16" s="369">
        <v>4</v>
      </c>
      <c r="F16" s="43">
        <v>3</v>
      </c>
      <c r="G16" s="426" t="s">
        <v>213</v>
      </c>
      <c r="H16" s="427"/>
      <c r="I16" s="428"/>
      <c r="J16" s="34">
        <f t="shared" si="0"/>
        <v>4</v>
      </c>
      <c r="K16" s="34">
        <f t="shared" si="1"/>
        <v>3</v>
      </c>
      <c r="L16" s="39"/>
      <c r="M16" s="36"/>
      <c r="N16" s="36"/>
      <c r="O16" s="36"/>
      <c r="P16" s="3"/>
      <c r="Q16" s="3"/>
    </row>
    <row r="17" spans="1:17" ht="65.25" customHeight="1" thickBot="1">
      <c r="A17" s="313"/>
      <c r="B17" s="447"/>
      <c r="C17" s="331" t="s">
        <v>34</v>
      </c>
      <c r="D17" s="44" t="s">
        <v>126</v>
      </c>
      <c r="E17" s="370">
        <v>3.5</v>
      </c>
      <c r="F17" s="45">
        <v>3</v>
      </c>
      <c r="G17" s="443" t="s">
        <v>214</v>
      </c>
      <c r="H17" s="444"/>
      <c r="I17" s="445"/>
      <c r="J17" s="34">
        <f t="shared" si="0"/>
        <v>3.5</v>
      </c>
      <c r="K17" s="34">
        <f t="shared" si="1"/>
        <v>3</v>
      </c>
      <c r="L17" s="39"/>
      <c r="O17" s="37"/>
      <c r="P17" s="8"/>
    </row>
    <row r="18" spans="1:17" ht="30" customHeight="1" thickBot="1">
      <c r="A18" s="313"/>
      <c r="B18" s="448"/>
      <c r="C18" s="332"/>
      <c r="D18" s="333"/>
      <c r="E18" s="334">
        <f>IF(J18&gt;0,SUM(J12:J17)/J18,"")</f>
        <v>3.1</v>
      </c>
      <c r="F18" s="335">
        <f>IF(K18&gt;0,SUM(K12:K17)/K18,"")</f>
        <v>3.6</v>
      </c>
      <c r="G18" s="319"/>
      <c r="H18" s="319"/>
      <c r="I18" s="320"/>
      <c r="J18" s="37">
        <f>COUNT(J12:J17)</f>
        <v>5</v>
      </c>
      <c r="K18" s="37">
        <f>COUNT(K12:K17)</f>
        <v>5</v>
      </c>
      <c r="L18" s="39"/>
      <c r="O18" s="37"/>
      <c r="P18" s="8"/>
    </row>
    <row r="19" spans="1:17" ht="30" customHeight="1">
      <c r="A19" s="313"/>
      <c r="B19" s="449" t="str">
        <f>'Marginal Zone'!B19:B21</f>
        <v>SPECIAL CATEGORY (eg Reeds, Palmiet)</v>
      </c>
      <c r="C19" s="329" t="s">
        <v>1</v>
      </c>
      <c r="D19" s="271" t="s">
        <v>188</v>
      </c>
      <c r="E19" s="371"/>
      <c r="F19" s="41"/>
      <c r="G19" s="420" t="s">
        <v>202</v>
      </c>
      <c r="H19" s="421"/>
      <c r="I19" s="422"/>
      <c r="J19" s="34" t="str">
        <f>IF(D19="Y",E19,IF(D19="N",""))</f>
        <v/>
      </c>
      <c r="K19" s="34" t="str">
        <f>IF(D19="Y",F19,IF(D19="N",""))</f>
        <v/>
      </c>
      <c r="L19" s="39"/>
      <c r="O19" s="37"/>
      <c r="P19" s="8"/>
    </row>
    <row r="20" spans="1:17" ht="30" customHeight="1" thickBot="1">
      <c r="A20" s="313"/>
      <c r="B20" s="450"/>
      <c r="C20" s="331" t="s">
        <v>0</v>
      </c>
      <c r="D20" s="44" t="s">
        <v>188</v>
      </c>
      <c r="E20" s="368"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73.5" customHeight="1">
      <c r="A22" s="313"/>
      <c r="B22" s="449" t="str">
        <f>'Marginal Zone'!B22:B25</f>
        <v>NON-WOODY (Excl Reeds)</v>
      </c>
      <c r="C22" s="329" t="s">
        <v>1</v>
      </c>
      <c r="D22" s="40" t="s">
        <v>126</v>
      </c>
      <c r="E22" s="371">
        <f>VLOOKUP(ABS('Ref State Cover'!M22-'Ref State Cover'!M29),'Rating Guide'!$F$34:$G$44,2)</f>
        <v>2.5</v>
      </c>
      <c r="F22" s="41">
        <v>4</v>
      </c>
      <c r="G22" s="420" t="s">
        <v>215</v>
      </c>
      <c r="H22" s="421"/>
      <c r="I22" s="422"/>
      <c r="J22" s="34">
        <f>IF(D22="Y",E22,IF(D22="N",""))</f>
        <v>2.5</v>
      </c>
      <c r="K22" s="34">
        <f>IF(D22="Y",F22,IF(D22="N",""))</f>
        <v>4</v>
      </c>
      <c r="L22" s="39"/>
      <c r="O22" s="37"/>
      <c r="P22" s="8"/>
    </row>
    <row r="23" spans="1:17" ht="30" customHeight="1">
      <c r="A23" s="313"/>
      <c r="B23" s="450"/>
      <c r="C23" s="330" t="s">
        <v>0</v>
      </c>
      <c r="D23" s="42" t="s">
        <v>188</v>
      </c>
      <c r="E23" s="368" t="str">
        <f>IF(D23="y",E22,"")</f>
        <v/>
      </c>
      <c r="F23" s="43"/>
      <c r="G23" s="437"/>
      <c r="H23" s="438"/>
      <c r="I23" s="439"/>
      <c r="J23" s="34" t="str">
        <f>IF(D23="Y",E23,IF(D23="N",""))</f>
        <v/>
      </c>
      <c r="K23" s="34" t="str">
        <f>IF(D23="Y",F23,IF(D23="N",""))</f>
        <v/>
      </c>
      <c r="L23" s="39"/>
      <c r="O23" s="37"/>
      <c r="P23" s="8"/>
    </row>
    <row r="24" spans="1:17" ht="87.75" customHeight="1" thickBot="1">
      <c r="A24" s="313"/>
      <c r="B24" s="450"/>
      <c r="C24" s="331" t="s">
        <v>34</v>
      </c>
      <c r="D24" s="44" t="s">
        <v>126</v>
      </c>
      <c r="E24" s="370">
        <v>3</v>
      </c>
      <c r="F24" s="45">
        <v>3</v>
      </c>
      <c r="G24" s="440" t="s">
        <v>204</v>
      </c>
      <c r="H24" s="441"/>
      <c r="I24" s="442"/>
      <c r="J24" s="34">
        <f>IF(D24="Y",E24,IF(D24="N",""))</f>
        <v>3</v>
      </c>
      <c r="K24" s="34">
        <f>IF(D24="Y",F24,IF(D24="N",""))</f>
        <v>3</v>
      </c>
      <c r="L24" s="39"/>
      <c r="O24" s="37"/>
      <c r="P24" s="8"/>
    </row>
    <row r="25" spans="1:17" ht="30" customHeight="1" thickBot="1">
      <c r="A25" s="313"/>
      <c r="B25" s="451"/>
      <c r="C25" s="339"/>
      <c r="D25" s="333"/>
      <c r="E25" s="334">
        <f>IF(J25&gt;0,SUM(J22:J24)/J25,"")</f>
        <v>2.75</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85</v>
      </c>
      <c r="F28" s="52">
        <f>IF(E18="","",E18)</f>
        <v>3.1</v>
      </c>
      <c r="G28" s="346">
        <f>IF(C28="N","",IF(C28="Y",F28*(E28/100)))</f>
        <v>2.6349999999999998</v>
      </c>
      <c r="H28" s="53">
        <f>IF(C28="y",F18,"")</f>
        <v>3.6</v>
      </c>
      <c r="I28" s="295"/>
      <c r="K28" s="347">
        <f>IF(C28="y",(E28*5)/100,0)</f>
        <v>4.25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2.75</v>
      </c>
      <c r="G30" s="351">
        <f>IF(C30="N","",IF(C30="Y",F30*(E30/100)))</f>
        <v>2.75</v>
      </c>
      <c r="H30" s="53">
        <f>IF(C30="y",F25,"")</f>
        <v>3.5</v>
      </c>
      <c r="I30" s="46"/>
      <c r="K30" s="347">
        <f>IF(C30="y",(E30*5)/100,0)</f>
        <v>5</v>
      </c>
      <c r="L30" s="38"/>
      <c r="M30" s="38"/>
      <c r="P30" s="3"/>
      <c r="Q30" s="3"/>
    </row>
    <row r="31" spans="1:17" ht="30" customHeight="1" thickBot="1">
      <c r="B31" s="316"/>
      <c r="C31" s="317"/>
      <c r="D31" s="317"/>
      <c r="E31" s="317"/>
      <c r="F31" s="317"/>
      <c r="G31" s="352">
        <f>SUM(G28:G30)</f>
        <v>5.3849999999999998</v>
      </c>
      <c r="H31" s="353">
        <f>AVERAGE(H28:H30)</f>
        <v>3.55</v>
      </c>
      <c r="I31" s="354"/>
      <c r="K31" s="34">
        <f>SUM(K28:K30)</f>
        <v>9.25</v>
      </c>
    </row>
    <row r="32" spans="1:17" ht="39" customHeight="1" thickBot="1">
      <c r="A32" s="355"/>
      <c r="B32" s="429" t="s">
        <v>139</v>
      </c>
      <c r="C32" s="430"/>
      <c r="D32" s="430"/>
      <c r="E32" s="356">
        <f>(G31/K31)*100</f>
        <v>58.21621621621621</v>
      </c>
      <c r="F32" s="36" t="str">
        <f>'RIPARIAN ZONE EC'!G20</f>
        <v>D/E</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16" location="marginal_pop_struc_and_recruitm" display="marginal_pop_struc_and_recruitm"/>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2011-02-12T06:15:59Z</dcterms:modified>
</cp:coreProperties>
</file>